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2024\TARIFAS\3. Cargos y Tarifas Mayoristas\Cargos_Plataforma-RF-TUPs\11. Notificación y publicación\2. Resto de Empresas y publicación\"/>
    </mc:Choice>
  </mc:AlternateContent>
  <bookViews>
    <workbookView xWindow="0" yWindow="0" windowWidth="28800" windowHeight="12225" activeTab="5"/>
  </bookViews>
  <sheets>
    <sheet name="ÍNDICE" sheetId="7" r:id="rId1"/>
    <sheet name="AT" sheetId="4" r:id="rId2"/>
    <sheet name="AT_DIF" sheetId="6" r:id="rId3"/>
    <sheet name="F&amp;R" sheetId="2" r:id="rId4"/>
    <sheet name="PP" sheetId="3" r:id="rId5"/>
    <sheet name="PARÁMETROS" sheetId="5" r:id="rId6"/>
  </sheets>
  <definedNames>
    <definedName name="_xlnm.Print_Area" localSheetId="1">AT!$A$1:$D$41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3" l="1"/>
  <c r="G10" i="3"/>
  <c r="F10" i="3"/>
  <c r="E10" i="3"/>
  <c r="D10" i="3"/>
  <c r="C15" i="3" l="1"/>
  <c r="C11" i="2"/>
  <c r="C17" i="5"/>
  <c r="C9" i="2" l="1"/>
  <c r="D35" i="4"/>
  <c r="C13" i="6"/>
  <c r="C12" i="6"/>
  <c r="C16" i="3" l="1"/>
  <c r="C18" i="3" l="1"/>
  <c r="C21" i="3" s="1"/>
  <c r="C12" i="2"/>
  <c r="C20" i="3" l="1"/>
  <c r="C27" i="3" l="1"/>
  <c r="D37" i="4" l="1"/>
  <c r="D40" i="4" s="1"/>
  <c r="D41" i="4" s="1"/>
  <c r="C17" i="2" l="1"/>
</calcChain>
</file>

<file path=xl/sharedStrings.xml><?xml version="1.0" encoding="utf-8"?>
<sst xmlns="http://schemas.openxmlformats.org/spreadsheetml/2006/main" count="123" uniqueCount="107">
  <si>
    <t>CARGO POR ACCESO A LA PLATAFORMA DE PAGO</t>
  </si>
  <si>
    <t>CARGO POR FACTURACIÓN Y RECAUDACIÓN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</si>
  <si>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</si>
  <si>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</si>
  <si>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</si>
  <si>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</si>
  <si>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15. Prestación de servicio voz móvil por Telefonía Móvil</t>
  </si>
  <si>
    <t>Clase de Activo</t>
  </si>
  <si>
    <t>CostoReparaciónTEP2007</t>
  </si>
  <si>
    <t>CostoReparaciónTIP2007</t>
  </si>
  <si>
    <t>CostoLimpiezaTEP2007</t>
  </si>
  <si>
    <t>SuscripciónAnualPorLínea(SinIGV)</t>
  </si>
  <si>
    <t>Evolutivos</t>
  </si>
  <si>
    <t>GtoPersonalTUP</t>
  </si>
  <si>
    <t>GastosMatDeOficina</t>
  </si>
  <si>
    <t>TtalConsumiblesDInformática</t>
  </si>
  <si>
    <t>CostoLocalesOcupados</t>
  </si>
  <si>
    <t>ImpuestosPredialesArbitrios</t>
  </si>
  <si>
    <t>Luz</t>
  </si>
  <si>
    <t>Agua</t>
  </si>
  <si>
    <t>Limpieza&amp;Mantenimiento</t>
  </si>
  <si>
    <t>Vigilancia</t>
  </si>
  <si>
    <t>MantenimientoSistemas</t>
  </si>
  <si>
    <t>MantenimientoAnualFlotaVehicular</t>
  </si>
  <si>
    <t>GastoAnualEnSegurosVehiculos</t>
  </si>
  <si>
    <t>LuzEdificios</t>
  </si>
  <si>
    <t>ArrendamientoLocalesTEP</t>
  </si>
  <si>
    <t>ArrendamientoLocalesTIP</t>
  </si>
  <si>
    <t>RecaudacionMonedasTEP</t>
  </si>
  <si>
    <t>TRÁFICO</t>
  </si>
  <si>
    <t>Sep22</t>
  </si>
  <si>
    <t>Código de cuenta contable de activo</t>
  </si>
  <si>
    <t>PROMEDIO</t>
  </si>
  <si>
    <t>Periodo</t>
  </si>
  <si>
    <t>CARGO ESTIMADO (S/)</t>
  </si>
  <si>
    <t>Tasa de variación</t>
  </si>
  <si>
    <t>CÁLCULO DEL CARGO</t>
  </si>
  <si>
    <t>Ratio OPEX/CAPEX</t>
  </si>
  <si>
    <t>Asignación</t>
  </si>
  <si>
    <t>CONCEPTO</t>
  </si>
  <si>
    <t>%</t>
  </si>
  <si>
    <t>Tráfico rural (T_rural)</t>
  </si>
  <si>
    <t>Acceso_urbano</t>
  </si>
  <si>
    <t>Tráfico urbano (T_urbano)</t>
  </si>
  <si>
    <t>Acceso_rural</t>
  </si>
  <si>
    <t>Tráfico total (T_total)</t>
  </si>
  <si>
    <t>CARGO POR ACCESO A LOS TELÉFONOS PÚBLICOS</t>
  </si>
  <si>
    <t>OSIPTEL</t>
  </si>
  <si>
    <t>AT (CARGO POR ACCESO A TUP)</t>
  </si>
  <si>
    <t>AT_DIF (CARGO DIFERENCIADO POR ACCESO A TUP)</t>
  </si>
  <si>
    <t>F&amp;R (CARGO POR FACTURACIÓN Y RECAUDACIÓN)</t>
  </si>
  <si>
    <t>PP (CARGO POR ACCESO A LA PLATAFORMA DE PAGO)</t>
  </si>
  <si>
    <t>CARGO DIFERENCIADO POR ACCESO A LOS TELÉFONOS PÚBLICOS</t>
  </si>
  <si>
    <t>Gastos 2009</t>
  </si>
  <si>
    <t>Número de líneas móviles no prepago</t>
  </si>
  <si>
    <t>Número de líneas fijas no prepago</t>
  </si>
  <si>
    <t>Inflación promedio anual (2015-2022)</t>
  </si>
  <si>
    <t>Fuente: Federal Reserve Bank of St. Louis</t>
  </si>
  <si>
    <t>Fuente: Modelo de costos del cargo móvil 2022</t>
  </si>
  <si>
    <t>PARÁMETROS</t>
  </si>
  <si>
    <t>Activo 1</t>
  </si>
  <si>
    <t xml:space="preserve">Comentarios </t>
  </si>
  <si>
    <t>Dimensionamiento del CAPEX para Servicios de Voz</t>
  </si>
  <si>
    <t>Se determina la participación de los activos relacionados con la provisión de la Plataforma de Pago para las líneas de negocio de servicios de voz.</t>
  </si>
  <si>
    <t>Cargo Rural (S/)</t>
  </si>
  <si>
    <t>Cargo Urbano (S/)</t>
  </si>
  <si>
    <t xml:space="preserve">EL ARCHIVO CONTIENE CINCO (5) SECCIONES: </t>
  </si>
  <si>
    <t>Monto 2022 (Miles de S/)</t>
  </si>
  <si>
    <t>Categoría</t>
  </si>
  <si>
    <t>Valor</t>
  </si>
  <si>
    <t>Tráfico (minutos)</t>
  </si>
  <si>
    <t>Contribución a costos comunes</t>
  </si>
  <si>
    <t>Margen de utilidad</t>
  </si>
  <si>
    <t>Cargo tope a diferenciar</t>
  </si>
  <si>
    <t>Cuenta contable relacionada 1 (Miles de S/)</t>
  </si>
  <si>
    <t>Cuenta contable relacionada 2 (Miles de S/)</t>
  </si>
  <si>
    <t>Cuenta contable relacionada 3 (Miles de S/)</t>
  </si>
  <si>
    <t>Activo 2</t>
  </si>
  <si>
    <t>Activo 3</t>
  </si>
  <si>
    <t>-</t>
  </si>
  <si>
    <t>Tráfico Móvil (minutos)</t>
  </si>
  <si>
    <t>Tráfico Fijo (minutos)</t>
  </si>
  <si>
    <t>Tráfico TUP (minutos)</t>
  </si>
  <si>
    <t xml:space="preserve">Margen de utilidad </t>
  </si>
  <si>
    <t>PARÁMETROS UTILIZADOS EN EL CÁLCULO DE LOS CARGOS</t>
  </si>
  <si>
    <t>Fuente: Banco Central de Reserva del Perú</t>
  </si>
  <si>
    <t>Tipo de Cambio (S/)</t>
  </si>
  <si>
    <t xml:space="preserve">N° </t>
  </si>
  <si>
    <t>OPEX 2022 (US$)</t>
  </si>
  <si>
    <t>CARGO ESTIMADO (US$)</t>
  </si>
  <si>
    <t>COSTO POR MINUTO (US$)</t>
  </si>
  <si>
    <t>OPEX Facturación y Recaudación (US$)</t>
  </si>
  <si>
    <t>CAPEX sistemas Actualizado 2022 (US$)</t>
  </si>
  <si>
    <t>Cargo estimado (US$)</t>
  </si>
  <si>
    <t>CAPEX sistemas 2015 (US$)</t>
  </si>
  <si>
    <t>Total CAPEX 2015 (US$)</t>
  </si>
  <si>
    <t>Total CAPEX actualizado 2022 (US$)</t>
  </si>
  <si>
    <t>OPEX estimado (US$)</t>
  </si>
  <si>
    <t>Gasto por comisiones (US$)</t>
  </si>
  <si>
    <t>Monto asignado (US$)</t>
  </si>
  <si>
    <t>- La columna C -Gastos 2009- hace referencia a la lista de los gastos corrientes considerados en la revisión del año 2009. Se ha tomado en cuenta solo los gastos corrientes con valores superiores a cero (0).
- Los valores efectivamente utilizados en la columna D -Monto 2022 (Miles de S/)- provienen del ACIC 2022 de Telefónica.</t>
  </si>
  <si>
    <t>Junio de 2024</t>
  </si>
  <si>
    <t>MODELO DE COSTOS</t>
  </si>
  <si>
    <t>DE TELEFÓNICA DEL PERÚ S.A.A.</t>
  </si>
  <si>
    <t>EL ARCHIVO CONTIENE DATOS FICTICIOS RESALTADOS EN COLOR AMARILLO,</t>
  </si>
  <si>
    <t>DONDE LA INFORMACIÓN EFECTIVAMENTE UTILIZADA SEA CONFIDENCIAL</t>
  </si>
  <si>
    <t>Tendencia de costo real de Nodo de red núcleo / Acceso / Radio / Gestión (HW/SW)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</si>
</sst>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-* #,##0_-;\-* #,##0_-;_-* &quot;-&quot;??_-;_-@_-"/>
    <numFmt numFmtId="165" formatCode="_ * #,##0.000_ ;_ * \-#,##0.000_ ;_ * &quot;-&quot;??_ ;_ @_ "/>
    <numFmt numFmtId="166" formatCode="_-* #,##0.0000_-;\-* #,##0.0000_-;_-* &quot;-&quot;??_-;_-@_-"/>
    <numFmt numFmtId="167" formatCode="_-[$USD]\ * #,##0.0000_-;\-[$USD]\ * #,##0.0000_-;_-[$USD]\ * &quot;-&quot;??_-;_-@_-"/>
    <numFmt numFmtId="168" formatCode="0.0%"/>
    <numFmt numFmtId="169" formatCode="_-[$$-409]* #,##0.00_ ;_-[$$-409]* \-#,##0.00\ ;_-[$$-409]* &quot;-&quot;??_ ;_-@_ "/>
    <numFmt numFmtId="170" formatCode="0.000"/>
    <numFmt numFmtId="171" formatCode="_-[$$-409]* #,##0.000_ ;_-[$$-409]* \-#,##0.000\ ;_-[$$-409]* &quot;-&quot;??_ ;_-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9"/>
      <name val="Gill Sans MT"/>
      <family val="2"/>
    </font>
    <font>
      <sz val="9"/>
      <name val="Gill Sans MT"/>
      <family val="2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AE69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5C5C5"/>
      </left>
      <right style="medium">
        <color rgb="FFC5C5C5"/>
      </right>
      <top/>
      <bottom style="medium">
        <color rgb="FFC5C5C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12" fillId="0" borderId="0"/>
  </cellStyleXfs>
  <cellXfs count="82">
    <xf numFmtId="0" fontId="0" fillId="0" borderId="0" xfId="0"/>
    <xf numFmtId="0" fontId="3" fillId="0" borderId="0" xfId="0" applyFont="1"/>
    <xf numFmtId="0" fontId="0" fillId="0" borderId="1" xfId="0" applyBorder="1"/>
    <xf numFmtId="0" fontId="2" fillId="2" borderId="1" xfId="0" applyFont="1" applyFill="1" applyBorder="1"/>
    <xf numFmtId="17" fontId="9" fillId="6" borderId="4" xfId="0" applyNumberFormat="1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0" fontId="0" fillId="5" borderId="0" xfId="0" applyFill="1"/>
    <xf numFmtId="167" fontId="2" fillId="0" borderId="0" xfId="0" applyNumberFormat="1" applyFont="1"/>
    <xf numFmtId="168" fontId="0" fillId="0" borderId="1" xfId="2" applyNumberFormat="1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7" fillId="0" borderId="0" xfId="0" applyFont="1"/>
    <xf numFmtId="17" fontId="14" fillId="4" borderId="4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10" fontId="0" fillId="0" borderId="1" xfId="2" applyNumberFormat="1" applyFont="1" applyBorder="1"/>
    <xf numFmtId="0" fontId="14" fillId="4" borderId="2" xfId="0" applyFont="1" applyFill="1" applyBorder="1" applyAlignment="1">
      <alignment horizontal="center" vertical="center" wrapText="1"/>
    </xf>
    <xf numFmtId="43" fontId="14" fillId="4" borderId="2" xfId="1" applyFont="1" applyFill="1" applyBorder="1" applyAlignment="1">
      <alignment horizontal="center" vertical="center" wrapText="1"/>
    </xf>
    <xf numFmtId="168" fontId="1" fillId="0" borderId="1" xfId="2" applyNumberFormat="1" applyFont="1" applyBorder="1"/>
    <xf numFmtId="10" fontId="1" fillId="0" borderId="1" xfId="2" applyNumberFormat="1" applyFont="1" applyBorder="1"/>
    <xf numFmtId="0" fontId="15" fillId="4" borderId="0" xfId="0" applyFont="1" applyFill="1" applyAlignment="1">
      <alignment horizontal="center"/>
    </xf>
    <xf numFmtId="0" fontId="0" fillId="5" borderId="1" xfId="0" applyFill="1" applyBorder="1" applyAlignment="1">
      <alignment horizontal="center"/>
    </xf>
    <xf numFmtId="43" fontId="0" fillId="0" borderId="0" xfId="1" applyFont="1" applyAlignment="1">
      <alignment horizontal="center"/>
    </xf>
    <xf numFmtId="164" fontId="0" fillId="0" borderId="1" xfId="1" applyNumberFormat="1" applyFont="1" applyBorder="1"/>
    <xf numFmtId="0" fontId="0" fillId="0" borderId="1" xfId="0" applyFill="1" applyBorder="1"/>
    <xf numFmtId="0" fontId="0" fillId="0" borderId="1" xfId="0" applyFont="1" applyBorder="1"/>
    <xf numFmtId="164" fontId="1" fillId="0" borderId="1" xfId="1" applyNumberFormat="1" applyFont="1" applyBorder="1"/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15" fillId="8" borderId="1" xfId="0" applyFont="1" applyFill="1" applyBorder="1"/>
    <xf numFmtId="0" fontId="0" fillId="5" borderId="1" xfId="0" applyFill="1" applyBorder="1"/>
    <xf numFmtId="164" fontId="0" fillId="0" borderId="0" xfId="1" applyNumberFormat="1" applyFont="1"/>
    <xf numFmtId="0" fontId="15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0" fillId="9" borderId="0" xfId="0" applyFill="1"/>
    <xf numFmtId="0" fontId="0" fillId="0" borderId="0" xfId="0" applyFill="1"/>
    <xf numFmtId="170" fontId="10" fillId="7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0" fontId="10" fillId="7" borderId="4" xfId="2" applyNumberFormat="1" applyFont="1" applyFill="1" applyBorder="1" applyAlignment="1">
      <alignment horizontal="center" vertical="center" wrapText="1"/>
    </xf>
    <xf numFmtId="168" fontId="0" fillId="0" borderId="1" xfId="2" applyNumberFormat="1" applyFont="1" applyFill="1" applyBorder="1"/>
    <xf numFmtId="168" fontId="0" fillId="0" borderId="1" xfId="0" applyNumberFormat="1" applyFill="1" applyBorder="1"/>
    <xf numFmtId="0" fontId="0" fillId="0" borderId="1" xfId="0" applyBorder="1" applyAlignment="1">
      <alignment horizontal="left" vertical="center" wrapText="1"/>
    </xf>
    <xf numFmtId="0" fontId="20" fillId="3" borderId="1" xfId="0" applyFont="1" applyFill="1" applyBorder="1"/>
    <xf numFmtId="0" fontId="5" fillId="9" borderId="1" xfId="0" applyFont="1" applyFill="1" applyBorder="1"/>
    <xf numFmtId="168" fontId="5" fillId="9" borderId="1" xfId="2" applyNumberFormat="1" applyFont="1" applyFill="1" applyBorder="1"/>
    <xf numFmtId="0" fontId="21" fillId="9" borderId="0" xfId="0" applyFont="1" applyFill="1"/>
    <xf numFmtId="0" fontId="15" fillId="4" borderId="1" xfId="0" applyFont="1" applyFill="1" applyBorder="1" applyAlignment="1">
      <alignment horizontal="center"/>
    </xf>
    <xf numFmtId="169" fontId="0" fillId="0" borderId="0" xfId="0" applyNumberFormat="1"/>
    <xf numFmtId="43" fontId="7" fillId="9" borderId="1" xfId="1" applyFont="1" applyFill="1" applyBorder="1" applyAlignment="1">
      <alignment horizontal="left" vertical="center" wrapText="1"/>
    </xf>
    <xf numFmtId="171" fontId="0" fillId="0" borderId="0" xfId="0" applyNumberFormat="1"/>
    <xf numFmtId="0" fontId="0" fillId="0" borderId="0" xfId="0" applyAlignment="1">
      <alignment vertical="center"/>
    </xf>
    <xf numFmtId="0" fontId="24" fillId="12" borderId="1" xfId="0" applyFont="1" applyFill="1" applyBorder="1"/>
    <xf numFmtId="166" fontId="24" fillId="12" borderId="1" xfId="1" applyNumberFormat="1" applyFont="1" applyFill="1" applyBorder="1"/>
    <xf numFmtId="166" fontId="24" fillId="12" borderId="1" xfId="0" applyNumberFormat="1" applyFont="1" applyFill="1" applyBorder="1"/>
    <xf numFmtId="0" fontId="20" fillId="13" borderId="1" xfId="0" applyFont="1" applyFill="1" applyBorder="1"/>
    <xf numFmtId="166" fontId="20" fillId="13" borderId="1" xfId="1" applyNumberFormat="1" applyFont="1" applyFill="1" applyBorder="1"/>
    <xf numFmtId="166" fontId="2" fillId="2" borderId="1" xfId="1" applyNumberFormat="1" applyFont="1" applyFill="1" applyBorder="1"/>
    <xf numFmtId="164" fontId="0" fillId="9" borderId="1" xfId="1" applyNumberFormat="1" applyFont="1" applyFill="1" applyBorder="1"/>
    <xf numFmtId="164" fontId="2" fillId="3" borderId="1" xfId="1" applyNumberFormat="1" applyFont="1" applyFill="1" applyBorder="1"/>
    <xf numFmtId="0" fontId="0" fillId="9" borderId="1" xfId="0" applyFill="1" applyBorder="1"/>
    <xf numFmtId="0" fontId="5" fillId="9" borderId="1" xfId="0" quotePrefix="1" applyFont="1" applyFill="1" applyBorder="1" applyAlignment="1">
      <alignment horizontal="center"/>
    </xf>
    <xf numFmtId="164" fontId="1" fillId="0" borderId="1" xfId="1" applyNumberFormat="1" applyFont="1" applyFill="1" applyBorder="1"/>
    <xf numFmtId="164" fontId="8" fillId="0" borderId="1" xfId="1" applyNumberFormat="1" applyFont="1" applyBorder="1" applyAlignment="1">
      <alignment vertical="center"/>
    </xf>
    <xf numFmtId="168" fontId="0" fillId="9" borderId="1" xfId="2" applyNumberFormat="1" applyFont="1" applyFill="1" applyBorder="1"/>
    <xf numFmtId="164" fontId="13" fillId="0" borderId="0" xfId="1" applyNumberFormat="1" applyFont="1"/>
    <xf numFmtId="0" fontId="15" fillId="4" borderId="7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23" fillId="11" borderId="3" xfId="0" quotePrefix="1" applyFont="1" applyFill="1" applyBorder="1" applyAlignment="1" applyProtection="1">
      <alignment horizontal="left" vertical="center" wrapText="1"/>
      <protection locked="0"/>
    </xf>
    <xf numFmtId="0" fontId="23" fillId="11" borderId="5" xfId="0" quotePrefix="1" applyFont="1" applyFill="1" applyBorder="1" applyAlignment="1" applyProtection="1">
      <alignment horizontal="left" vertical="center" wrapText="1"/>
      <protection locked="0"/>
    </xf>
    <xf numFmtId="0" fontId="23" fillId="11" borderId="6" xfId="0" quotePrefix="1" applyFont="1" applyFill="1" applyBorder="1" applyAlignment="1" applyProtection="1">
      <alignment horizontal="left" vertical="center" wrapText="1"/>
      <protection locked="0"/>
    </xf>
    <xf numFmtId="0" fontId="22" fillId="10" borderId="1" xfId="0" applyFont="1" applyFill="1" applyBorder="1" applyAlignment="1" applyProtection="1">
      <alignment horizontal="center" vertical="center"/>
    </xf>
    <xf numFmtId="0" fontId="15" fillId="4" borderId="1" xfId="0" applyFont="1" applyFill="1" applyBorder="1" applyAlignment="1">
      <alignment horizontal="center"/>
    </xf>
    <xf numFmtId="0" fontId="16" fillId="9" borderId="3" xfId="0" applyFont="1" applyFill="1" applyBorder="1" applyAlignment="1">
      <alignment horizontal="center"/>
    </xf>
    <xf numFmtId="0" fontId="16" fillId="9" borderId="6" xfId="0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 2" xfId="3"/>
    <cellStyle name="Normal 3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8</xdr:row>
      <xdr:rowOff>49696</xdr:rowOff>
    </xdr:from>
    <xdr:to>
      <xdr:col>1</xdr:col>
      <xdr:colOff>302172</xdr:colOff>
      <xdr:row>8</xdr:row>
      <xdr:rowOff>161369</xdr:rowOff>
    </xdr:to>
    <xdr:sp macro="" textlink="">
      <xdr:nvSpPr>
        <xdr:cNvPr id="2" name="Elipse 1"/>
        <xdr:cNvSpPr/>
      </xdr:nvSpPr>
      <xdr:spPr>
        <a:xfrm>
          <a:off x="389282" y="1731066"/>
          <a:ext cx="111673" cy="111673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</xdr:col>
      <xdr:colOff>190499</xdr:colOff>
      <xdr:row>10</xdr:row>
      <xdr:rowOff>46083</xdr:rowOff>
    </xdr:from>
    <xdr:to>
      <xdr:col>1</xdr:col>
      <xdr:colOff>302172</xdr:colOff>
      <xdr:row>10</xdr:row>
      <xdr:rowOff>157756</xdr:rowOff>
    </xdr:to>
    <xdr:sp macro="" textlink="">
      <xdr:nvSpPr>
        <xdr:cNvPr id="3" name="Elipse 2"/>
        <xdr:cNvSpPr/>
      </xdr:nvSpPr>
      <xdr:spPr>
        <a:xfrm>
          <a:off x="389282" y="2108453"/>
          <a:ext cx="111673" cy="111673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</xdr:col>
      <xdr:colOff>190499</xdr:colOff>
      <xdr:row>12</xdr:row>
      <xdr:rowOff>42470</xdr:rowOff>
    </xdr:from>
    <xdr:to>
      <xdr:col>1</xdr:col>
      <xdr:colOff>302172</xdr:colOff>
      <xdr:row>12</xdr:row>
      <xdr:rowOff>154143</xdr:rowOff>
    </xdr:to>
    <xdr:sp macro="" textlink="">
      <xdr:nvSpPr>
        <xdr:cNvPr id="4" name="Elipse 3"/>
        <xdr:cNvSpPr/>
      </xdr:nvSpPr>
      <xdr:spPr>
        <a:xfrm>
          <a:off x="389282" y="2485840"/>
          <a:ext cx="111673" cy="111673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</xdr:col>
      <xdr:colOff>190499</xdr:colOff>
      <xdr:row>14</xdr:row>
      <xdr:rowOff>38857</xdr:rowOff>
    </xdr:from>
    <xdr:to>
      <xdr:col>1</xdr:col>
      <xdr:colOff>302172</xdr:colOff>
      <xdr:row>14</xdr:row>
      <xdr:rowOff>150530</xdr:rowOff>
    </xdr:to>
    <xdr:sp macro="" textlink="">
      <xdr:nvSpPr>
        <xdr:cNvPr id="5" name="Elipse 4"/>
        <xdr:cNvSpPr/>
      </xdr:nvSpPr>
      <xdr:spPr>
        <a:xfrm>
          <a:off x="389282" y="2863227"/>
          <a:ext cx="111673" cy="111673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</xdr:col>
      <xdr:colOff>190499</xdr:colOff>
      <xdr:row>16</xdr:row>
      <xdr:rowOff>35244</xdr:rowOff>
    </xdr:from>
    <xdr:to>
      <xdr:col>1</xdr:col>
      <xdr:colOff>302172</xdr:colOff>
      <xdr:row>16</xdr:row>
      <xdr:rowOff>146917</xdr:rowOff>
    </xdr:to>
    <xdr:sp macro="" textlink="">
      <xdr:nvSpPr>
        <xdr:cNvPr id="6" name="Elipse 5"/>
        <xdr:cNvSpPr/>
      </xdr:nvSpPr>
      <xdr:spPr>
        <a:xfrm>
          <a:off x="389282" y="3240614"/>
          <a:ext cx="111673" cy="111673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showGridLines="0" view="pageBreakPreview" zoomScale="115" zoomScaleNormal="100" zoomScaleSheetLayoutView="115" workbookViewId="0">
      <selection activeCell="D18" sqref="D18"/>
    </sheetView>
  </sheetViews>
  <sheetFormatPr baseColWidth="10" defaultColWidth="9.140625" defaultRowHeight="15" x14ac:dyDescent="0.25"/>
  <cols>
    <col min="1" max="1" width="3" customWidth="1"/>
    <col min="2" max="2" width="5.42578125" customWidth="1"/>
    <col min="10" max="10" width="13.28515625" customWidth="1"/>
  </cols>
  <sheetData>
    <row r="2" spans="2:3" ht="23.25" x14ac:dyDescent="0.35">
      <c r="B2" s="39" t="s">
        <v>102</v>
      </c>
    </row>
    <row r="3" spans="2:3" ht="18.75" x14ac:dyDescent="0.3">
      <c r="B3" s="40" t="s">
        <v>47</v>
      </c>
    </row>
    <row r="4" spans="2:3" x14ac:dyDescent="0.25">
      <c r="B4" s="41" t="s">
        <v>101</v>
      </c>
    </row>
    <row r="7" spans="2:3" x14ac:dyDescent="0.25">
      <c r="B7" s="43" t="s">
        <v>66</v>
      </c>
    </row>
    <row r="9" spans="2:3" x14ac:dyDescent="0.25">
      <c r="C9" t="s">
        <v>48</v>
      </c>
    </row>
    <row r="11" spans="2:3" x14ac:dyDescent="0.25">
      <c r="C11" t="s">
        <v>49</v>
      </c>
    </row>
    <row r="13" spans="2:3" x14ac:dyDescent="0.25">
      <c r="C13" t="s">
        <v>50</v>
      </c>
    </row>
    <row r="15" spans="2:3" x14ac:dyDescent="0.25">
      <c r="C15" t="s">
        <v>51</v>
      </c>
    </row>
    <row r="17" spans="2:10" x14ac:dyDescent="0.25">
      <c r="C17" t="s">
        <v>59</v>
      </c>
    </row>
    <row r="20" spans="2:10" ht="15.75" x14ac:dyDescent="0.25">
      <c r="B20" s="53" t="s">
        <v>104</v>
      </c>
      <c r="C20" s="42"/>
      <c r="D20" s="42"/>
      <c r="E20" s="42"/>
      <c r="F20" s="42"/>
      <c r="G20" s="42"/>
      <c r="H20" s="42"/>
      <c r="I20" s="42"/>
      <c r="J20" s="42"/>
    </row>
    <row r="21" spans="2:10" ht="15.75" x14ac:dyDescent="0.25">
      <c r="B21" s="53" t="s">
        <v>105</v>
      </c>
      <c r="C21" s="42"/>
      <c r="D21" s="42"/>
      <c r="E21" s="42"/>
      <c r="F21" s="42"/>
      <c r="G21" s="42"/>
      <c r="H21" s="42"/>
      <c r="I21" s="42"/>
      <c r="J21" s="4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1"/>
  <sheetViews>
    <sheetView showGridLines="0" view="pageBreakPreview" topLeftCell="A16" zoomScaleNormal="100" zoomScaleSheetLayoutView="100" workbookViewId="0">
      <selection activeCell="A4" sqref="A4"/>
    </sheetView>
  </sheetViews>
  <sheetFormatPr baseColWidth="10" defaultRowHeight="15" x14ac:dyDescent="0.25"/>
  <cols>
    <col min="1" max="1" width="2.7109375" customWidth="1"/>
    <col min="2" max="2" width="7.5703125" style="31" bestFit="1" customWidth="1"/>
    <col min="3" max="3" width="35.7109375" bestFit="1" customWidth="1"/>
    <col min="4" max="4" width="24.85546875" style="25" customWidth="1"/>
    <col min="6" max="6" width="23.140625" customWidth="1"/>
  </cols>
  <sheetData>
    <row r="2" spans="1:4" ht="21" x14ac:dyDescent="0.35">
      <c r="A2" s="1" t="s">
        <v>46</v>
      </c>
    </row>
    <row r="3" spans="1:4" ht="21" x14ac:dyDescent="0.35">
      <c r="A3" s="1" t="s">
        <v>103</v>
      </c>
    </row>
    <row r="4" spans="1:4" ht="21" x14ac:dyDescent="0.35">
      <c r="A4" s="1"/>
    </row>
    <row r="5" spans="1:4" ht="21" x14ac:dyDescent="0.35">
      <c r="A5" s="1"/>
      <c r="B5" s="78" t="s">
        <v>61</v>
      </c>
      <c r="C5" s="78"/>
      <c r="D5" s="78"/>
    </row>
    <row r="6" spans="1:4" ht="87" customHeight="1" x14ac:dyDescent="0.35">
      <c r="A6" s="1"/>
      <c r="B6" s="75" t="s">
        <v>100</v>
      </c>
      <c r="C6" s="76"/>
      <c r="D6" s="77"/>
    </row>
    <row r="7" spans="1:4" ht="21" x14ac:dyDescent="0.35">
      <c r="A7" s="1"/>
    </row>
    <row r="8" spans="1:4" x14ac:dyDescent="0.25">
      <c r="B8" s="19" t="s">
        <v>87</v>
      </c>
      <c r="C8" s="19" t="s">
        <v>53</v>
      </c>
      <c r="D8" s="20" t="s">
        <v>67</v>
      </c>
    </row>
    <row r="9" spans="1:4" x14ac:dyDescent="0.25">
      <c r="B9" s="30">
        <v>1</v>
      </c>
      <c r="C9" s="38" t="s">
        <v>8</v>
      </c>
      <c r="D9" s="56">
        <v>295.73927549476758</v>
      </c>
    </row>
    <row r="10" spans="1:4" x14ac:dyDescent="0.25">
      <c r="B10" s="30">
        <v>2</v>
      </c>
      <c r="C10" s="38" t="s">
        <v>9</v>
      </c>
      <c r="D10" s="56">
        <v>295.73927549476758</v>
      </c>
    </row>
    <row r="11" spans="1:4" x14ac:dyDescent="0.25">
      <c r="B11" s="30">
        <v>3</v>
      </c>
      <c r="C11" s="38" t="s">
        <v>11</v>
      </c>
      <c r="D11" s="56">
        <v>295.73927549476758</v>
      </c>
    </row>
    <row r="12" spans="1:4" x14ac:dyDescent="0.25">
      <c r="B12" s="30">
        <v>4</v>
      </c>
      <c r="C12" s="38" t="s">
        <v>12</v>
      </c>
      <c r="D12" s="56">
        <v>295.73927549476758</v>
      </c>
    </row>
    <row r="13" spans="1:4" x14ac:dyDescent="0.25">
      <c r="B13" s="30">
        <v>5</v>
      </c>
      <c r="C13" s="38" t="s">
        <v>13</v>
      </c>
      <c r="D13" s="56">
        <v>295.73927549476758</v>
      </c>
    </row>
    <row r="14" spans="1:4" x14ac:dyDescent="0.25">
      <c r="B14" s="30">
        <v>6</v>
      </c>
      <c r="C14" s="38" t="s">
        <v>14</v>
      </c>
      <c r="D14" s="56">
        <v>295.73927549476758</v>
      </c>
    </row>
    <row r="15" spans="1:4" x14ac:dyDescent="0.25">
      <c r="B15" s="30">
        <v>7</v>
      </c>
      <c r="C15" s="38" t="s">
        <v>15</v>
      </c>
      <c r="D15" s="56">
        <v>295.73927549476758</v>
      </c>
    </row>
    <row r="16" spans="1:4" x14ac:dyDescent="0.25">
      <c r="B16" s="30">
        <v>8</v>
      </c>
      <c r="C16" s="38" t="s">
        <v>16</v>
      </c>
      <c r="D16" s="56">
        <v>295.73927549476758</v>
      </c>
    </row>
    <row r="17" spans="2:4" x14ac:dyDescent="0.25">
      <c r="B17" s="30">
        <v>9</v>
      </c>
      <c r="C17" s="38" t="s">
        <v>17</v>
      </c>
      <c r="D17" s="56">
        <v>295.73927549476758</v>
      </c>
    </row>
    <row r="18" spans="2:4" x14ac:dyDescent="0.25">
      <c r="B18" s="30">
        <v>10</v>
      </c>
      <c r="C18" s="38" t="s">
        <v>18</v>
      </c>
      <c r="D18" s="56">
        <v>295.73927549476758</v>
      </c>
    </row>
    <row r="19" spans="2:4" x14ac:dyDescent="0.25">
      <c r="B19" s="30">
        <v>11</v>
      </c>
      <c r="C19" s="38" t="s">
        <v>25</v>
      </c>
      <c r="D19" s="56">
        <v>295.73927549476758</v>
      </c>
    </row>
    <row r="20" spans="2:4" x14ac:dyDescent="0.25">
      <c r="B20" s="30">
        <v>12</v>
      </c>
      <c r="C20" s="38" t="s">
        <v>19</v>
      </c>
      <c r="D20" s="56">
        <v>295.73927549476758</v>
      </c>
    </row>
    <row r="21" spans="2:4" x14ac:dyDescent="0.25">
      <c r="B21" s="30">
        <v>13</v>
      </c>
      <c r="C21" s="38" t="s">
        <v>20</v>
      </c>
      <c r="D21" s="56">
        <v>295.73927549476758</v>
      </c>
    </row>
    <row r="22" spans="2:4" x14ac:dyDescent="0.25">
      <c r="B22" s="30">
        <v>14</v>
      </c>
      <c r="C22" s="38" t="s">
        <v>10</v>
      </c>
      <c r="D22" s="56">
        <v>295.73927549476758</v>
      </c>
    </row>
    <row r="23" spans="2:4" x14ac:dyDescent="0.25">
      <c r="B23" s="30">
        <v>15</v>
      </c>
      <c r="C23" s="38" t="s">
        <v>21</v>
      </c>
      <c r="D23" s="56">
        <v>295.73927549476758</v>
      </c>
    </row>
    <row r="24" spans="2:4" x14ac:dyDescent="0.25">
      <c r="B24" s="30">
        <v>16</v>
      </c>
      <c r="C24" s="38" t="s">
        <v>22</v>
      </c>
      <c r="D24" s="56">
        <v>295.73927549476758</v>
      </c>
    </row>
    <row r="25" spans="2:4" x14ac:dyDescent="0.25">
      <c r="B25" s="30">
        <v>17</v>
      </c>
      <c r="C25" s="38" t="s">
        <v>23</v>
      </c>
      <c r="D25" s="56">
        <v>295.73927549476758</v>
      </c>
    </row>
    <row r="26" spans="2:4" x14ac:dyDescent="0.25">
      <c r="B26" s="30">
        <v>18</v>
      </c>
      <c r="C26" s="38" t="s">
        <v>24</v>
      </c>
      <c r="D26" s="56">
        <v>295.73927549476758</v>
      </c>
    </row>
    <row r="27" spans="2:4" x14ac:dyDescent="0.25">
      <c r="B27" s="30">
        <v>19</v>
      </c>
      <c r="C27" s="38" t="s">
        <v>26</v>
      </c>
      <c r="D27" s="56">
        <v>295.73927549476758</v>
      </c>
    </row>
    <row r="28" spans="2:4" x14ac:dyDescent="0.25">
      <c r="B28" s="30">
        <v>20</v>
      </c>
      <c r="C28" s="38" t="s">
        <v>27</v>
      </c>
      <c r="D28" s="56">
        <v>295.73927549476758</v>
      </c>
    </row>
    <row r="29" spans="2:4" x14ac:dyDescent="0.25">
      <c r="B29" s="30">
        <v>21</v>
      </c>
      <c r="C29" s="38" t="s">
        <v>28</v>
      </c>
      <c r="D29" s="56">
        <v>295.73927549476758</v>
      </c>
    </row>
    <row r="31" spans="2:4" x14ac:dyDescent="0.25">
      <c r="D31"/>
    </row>
    <row r="32" spans="2:4" x14ac:dyDescent="0.25">
      <c r="D32"/>
    </row>
    <row r="33" spans="3:4" x14ac:dyDescent="0.25">
      <c r="C33" s="73" t="s">
        <v>36</v>
      </c>
      <c r="D33" s="74"/>
    </row>
    <row r="34" spans="3:4" x14ac:dyDescent="0.25">
      <c r="C34" s="23" t="s">
        <v>68</v>
      </c>
      <c r="D34" s="23" t="s">
        <v>69</v>
      </c>
    </row>
    <row r="35" spans="3:4" x14ac:dyDescent="0.25">
      <c r="C35" s="28" t="s">
        <v>88</v>
      </c>
      <c r="D35" s="29">
        <f>SUM(D9:D29)*1000/PARÁMETROS!C17</f>
        <v>1619256.8696291461</v>
      </c>
    </row>
    <row r="36" spans="3:4" x14ac:dyDescent="0.25">
      <c r="C36" s="28" t="s">
        <v>70</v>
      </c>
      <c r="D36" s="29">
        <v>34437355</v>
      </c>
    </row>
    <row r="37" spans="3:4" x14ac:dyDescent="0.25">
      <c r="C37" s="62" t="s">
        <v>90</v>
      </c>
      <c r="D37" s="63">
        <f>D35/D36</f>
        <v>4.7020361163891536E-2</v>
      </c>
    </row>
    <row r="38" spans="3:4" x14ac:dyDescent="0.25">
      <c r="C38" s="28" t="s">
        <v>71</v>
      </c>
      <c r="D38" s="21">
        <v>8.7999999999999995E-2</v>
      </c>
    </row>
    <row r="39" spans="3:4" x14ac:dyDescent="0.25">
      <c r="C39" s="28" t="s">
        <v>72</v>
      </c>
      <c r="D39" s="22">
        <v>0.1198</v>
      </c>
    </row>
    <row r="40" spans="3:4" x14ac:dyDescent="0.25">
      <c r="C40" s="3" t="s">
        <v>89</v>
      </c>
      <c r="D40" s="64">
        <f>D37*(1+D38)*(1+D39)</f>
        <v>5.728689966928241E-2</v>
      </c>
    </row>
    <row r="41" spans="3:4" x14ac:dyDescent="0.25">
      <c r="C41" s="3" t="s">
        <v>34</v>
      </c>
      <c r="D41" s="64">
        <f>D40*PARÁMETROS!C17</f>
        <v>0.21971912977322691</v>
      </c>
    </row>
  </sheetData>
  <mergeCells count="3">
    <mergeCell ref="C33:D33"/>
    <mergeCell ref="B6:D6"/>
    <mergeCell ref="B5:D5"/>
  </mergeCells>
  <dataValidations count="1">
    <dataValidation allowBlank="1" showErrorMessage="1" prompt="En caso se aplique para el cobro del cargo algún mecanismo de descuento,indicar: (i) el valor nominal del cargo, (ii) el cargo efectivamente pagado por el operador, y (iii) el sistema de descuentos aplicado. En caso contrario, también indicarlo._x000a_" sqref="B6"/>
  </dataValidations>
  <pageMargins left="0.7" right="0.7" top="0.75" bottom="0.75" header="0.3" footer="0.3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showGridLines="0" view="pageBreakPreview" zoomScale="130" zoomScaleNormal="100" zoomScaleSheetLayoutView="130" workbookViewId="0">
      <selection activeCell="B8" sqref="B8"/>
    </sheetView>
  </sheetViews>
  <sheetFormatPr baseColWidth="10" defaultRowHeight="15" x14ac:dyDescent="0.25"/>
  <cols>
    <col min="1" max="1" width="2.7109375" customWidth="1"/>
    <col min="2" max="2" width="24.140625" bestFit="1" customWidth="1"/>
    <col min="3" max="3" width="15.7109375" bestFit="1" customWidth="1"/>
    <col min="4" max="4" width="3.140625" customWidth="1"/>
    <col min="5" max="5" width="14.42578125" bestFit="1" customWidth="1"/>
    <col min="6" max="6" width="23.7109375" customWidth="1"/>
  </cols>
  <sheetData>
    <row r="2" spans="1:7" ht="21" x14ac:dyDescent="0.35">
      <c r="A2" s="1" t="s">
        <v>52</v>
      </c>
    </row>
    <row r="3" spans="1:7" ht="21" x14ac:dyDescent="0.35">
      <c r="A3" s="1" t="s">
        <v>103</v>
      </c>
    </row>
    <row r="5" spans="1:7" x14ac:dyDescent="0.25">
      <c r="B5" s="37" t="s">
        <v>39</v>
      </c>
      <c r="C5" s="37" t="s">
        <v>29</v>
      </c>
      <c r="E5" s="37" t="s">
        <v>39</v>
      </c>
      <c r="F5" s="37" t="s">
        <v>40</v>
      </c>
    </row>
    <row r="6" spans="1:7" x14ac:dyDescent="0.25">
      <c r="B6" s="32" t="s">
        <v>41</v>
      </c>
      <c r="C6" s="26">
        <v>255812.99891389959</v>
      </c>
      <c r="E6" s="2" t="s">
        <v>42</v>
      </c>
      <c r="F6" s="2">
        <v>13.32</v>
      </c>
    </row>
    <row r="7" spans="1:7" x14ac:dyDescent="0.25">
      <c r="B7" s="2" t="s">
        <v>43</v>
      </c>
      <c r="C7" s="26">
        <v>16252262.209999999</v>
      </c>
      <c r="E7" s="2" t="s">
        <v>44</v>
      </c>
      <c r="F7" s="2">
        <v>0.04</v>
      </c>
    </row>
    <row r="8" spans="1:7" x14ac:dyDescent="0.25">
      <c r="B8" s="33" t="s">
        <v>45</v>
      </c>
      <c r="C8" s="26">
        <v>16508075.208913898</v>
      </c>
    </row>
    <row r="10" spans="1:7" x14ac:dyDescent="0.25">
      <c r="B10" s="34" t="s">
        <v>73</v>
      </c>
      <c r="C10" s="35">
        <v>0.21970000000000001</v>
      </c>
    </row>
    <row r="12" spans="1:7" x14ac:dyDescent="0.25">
      <c r="B12" s="59" t="s">
        <v>64</v>
      </c>
      <c r="C12" s="60">
        <f>C10*C8*F7/(C6*F7+C7*F6)</f>
        <v>6.7011280077347883E-4</v>
      </c>
      <c r="G12" s="36"/>
    </row>
    <row r="13" spans="1:7" x14ac:dyDescent="0.25">
      <c r="B13" s="59" t="s">
        <v>65</v>
      </c>
      <c r="C13" s="61">
        <f>C10*C8*F6/(C6*F7+C7*F6)</f>
        <v>0.22314756265756847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view="pageBreakPreview" zoomScale="160" zoomScaleNormal="175" zoomScaleSheetLayoutView="160" workbookViewId="0">
      <selection activeCell="C10" sqref="C10"/>
    </sheetView>
  </sheetViews>
  <sheetFormatPr baseColWidth="10" defaultRowHeight="15" x14ac:dyDescent="0.25"/>
  <cols>
    <col min="1" max="1" width="2.5703125" customWidth="1"/>
    <col min="2" max="2" width="44.28515625" bestFit="1" customWidth="1"/>
    <col min="3" max="3" width="15.140625" customWidth="1"/>
    <col min="4" max="4" width="12.42578125" bestFit="1" customWidth="1"/>
  </cols>
  <sheetData>
    <row r="1" spans="1:5" ht="6.75" customHeight="1" x14ac:dyDescent="0.25"/>
    <row r="2" spans="1:5" ht="21" x14ac:dyDescent="0.35">
      <c r="A2" s="1" t="s">
        <v>1</v>
      </c>
    </row>
    <row r="3" spans="1:5" ht="6.75" customHeight="1" x14ac:dyDescent="0.25"/>
    <row r="4" spans="1:5" ht="15" customHeight="1" x14ac:dyDescent="0.25">
      <c r="B4" s="79" t="s">
        <v>36</v>
      </c>
      <c r="C4" s="79"/>
    </row>
    <row r="5" spans="1:5" x14ac:dyDescent="0.25">
      <c r="B5" s="54" t="s">
        <v>68</v>
      </c>
      <c r="C5" s="54" t="s">
        <v>69</v>
      </c>
    </row>
    <row r="6" spans="1:5" x14ac:dyDescent="0.25">
      <c r="B6" s="67" t="s">
        <v>74</v>
      </c>
      <c r="C6" s="65">
        <v>2762.566616590278</v>
      </c>
    </row>
    <row r="7" spans="1:5" x14ac:dyDescent="0.25">
      <c r="B7" s="67" t="s">
        <v>75</v>
      </c>
      <c r="C7" s="65">
        <v>2762.566616590278</v>
      </c>
    </row>
    <row r="8" spans="1:5" x14ac:dyDescent="0.25">
      <c r="A8" s="24"/>
      <c r="B8" s="67" t="s">
        <v>76</v>
      </c>
      <c r="C8" s="65">
        <v>2762.566616590278</v>
      </c>
    </row>
    <row r="9" spans="1:5" x14ac:dyDescent="0.25">
      <c r="B9" s="50" t="s">
        <v>91</v>
      </c>
      <c r="C9" s="66">
        <f>(C6+C7+C8)*1000/PARÁMETROS!C17</f>
        <v>2160834.29</v>
      </c>
      <c r="D9" s="55"/>
      <c r="E9" s="57"/>
    </row>
    <row r="10" spans="1:5" x14ac:dyDescent="0.25">
      <c r="B10" s="2" t="s">
        <v>94</v>
      </c>
      <c r="C10" s="26">
        <v>42745.026788803916</v>
      </c>
    </row>
    <row r="11" spans="1:5" x14ac:dyDescent="0.25">
      <c r="B11" s="2" t="s">
        <v>35</v>
      </c>
      <c r="C11" s="12">
        <f>(1+PARÁMETROS!G5)*(1+PARÁMETROS!E5)-1</f>
        <v>-2.7864999999999918E-2</v>
      </c>
    </row>
    <row r="12" spans="1:5" x14ac:dyDescent="0.25">
      <c r="B12" s="50" t="s">
        <v>92</v>
      </c>
      <c r="C12" s="66">
        <f>C10*(1+C11)^7</f>
        <v>35072.897781937041</v>
      </c>
    </row>
    <row r="13" spans="1:5" x14ac:dyDescent="0.25">
      <c r="B13" s="45" t="s">
        <v>54</v>
      </c>
      <c r="C13" s="26">
        <v>4736856</v>
      </c>
    </row>
    <row r="14" spans="1:5" x14ac:dyDescent="0.25">
      <c r="B14" s="45" t="s">
        <v>55</v>
      </c>
      <c r="C14" s="26">
        <v>1006125</v>
      </c>
    </row>
    <row r="15" spans="1:5" x14ac:dyDescent="0.25">
      <c r="B15" s="49" t="s">
        <v>71</v>
      </c>
      <c r="C15" s="12">
        <v>8.7999999999999995E-2</v>
      </c>
    </row>
    <row r="16" spans="1:5" x14ac:dyDescent="0.25">
      <c r="B16" s="49" t="s">
        <v>72</v>
      </c>
      <c r="C16" s="18">
        <v>0.1198</v>
      </c>
    </row>
    <row r="17" spans="2:3" x14ac:dyDescent="0.25">
      <c r="B17" s="3" t="s">
        <v>93</v>
      </c>
      <c r="C17" s="64">
        <f>((C12+C9)/(12*(C13+C14)))*(1+C15)*(1+C16)</f>
        <v>3.8820820774372169E-2</v>
      </c>
    </row>
    <row r="19" spans="2:3" x14ac:dyDescent="0.25">
      <c r="B19" s="14"/>
      <c r="C19" s="14"/>
    </row>
    <row r="20" spans="2:3" x14ac:dyDescent="0.25">
      <c r="B20" s="14"/>
      <c r="C20" s="14"/>
    </row>
    <row r="21" spans="2:3" x14ac:dyDescent="0.25">
      <c r="B21" s="14"/>
      <c r="C21" s="14"/>
    </row>
  </sheetData>
  <mergeCells count="1">
    <mergeCell ref="B4:C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2"/>
  <sheetViews>
    <sheetView showGridLines="0" view="pageBreakPreview" topLeftCell="A13" zoomScale="145" zoomScaleNormal="130" zoomScaleSheetLayoutView="145" workbookViewId="0">
      <selection activeCell="C22" sqref="C22"/>
    </sheetView>
  </sheetViews>
  <sheetFormatPr baseColWidth="10" defaultRowHeight="15" x14ac:dyDescent="0.25"/>
  <cols>
    <col min="1" max="1" width="3.140625" customWidth="1"/>
    <col min="2" max="2" width="42.5703125" bestFit="1" customWidth="1"/>
    <col min="3" max="3" width="20.42578125" bestFit="1" customWidth="1"/>
    <col min="4" max="4" width="20.42578125" customWidth="1"/>
    <col min="5" max="5" width="13.140625" bestFit="1" customWidth="1"/>
    <col min="7" max="7" width="16.140625" bestFit="1" customWidth="1"/>
  </cols>
  <sheetData>
    <row r="2" spans="1:31" ht="21" x14ac:dyDescent="0.35">
      <c r="A2" s="1" t="s">
        <v>0</v>
      </c>
    </row>
    <row r="3" spans="1:31" ht="21" x14ac:dyDescent="0.35">
      <c r="A3" s="1"/>
    </row>
    <row r="4" spans="1:31" ht="21" x14ac:dyDescent="0.35">
      <c r="A4" s="1"/>
      <c r="B4" s="1" t="s">
        <v>62</v>
      </c>
    </row>
    <row r="5" spans="1:31" ht="21" x14ac:dyDescent="0.35">
      <c r="A5" s="1"/>
      <c r="B5" s="58" t="s">
        <v>63</v>
      </c>
    </row>
    <row r="6" spans="1:31" s="7" customFormat="1" ht="72" x14ac:dyDescent="0.25">
      <c r="B6" s="8" t="s">
        <v>31</v>
      </c>
      <c r="C6" s="8" t="s">
        <v>7</v>
      </c>
      <c r="D6" s="9" t="s">
        <v>2</v>
      </c>
      <c r="E6" s="9" t="s">
        <v>3</v>
      </c>
      <c r="F6" s="9" t="s">
        <v>4</v>
      </c>
      <c r="G6" s="9" t="s">
        <v>5</v>
      </c>
      <c r="H6" s="9" t="s">
        <v>6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</row>
    <row r="7" spans="1:31" s="10" customFormat="1" ht="15" customHeight="1" x14ac:dyDescent="0.25">
      <c r="B7" s="68" t="s">
        <v>79</v>
      </c>
      <c r="C7" s="51" t="s">
        <v>60</v>
      </c>
      <c r="D7" s="52">
        <v>0.05</v>
      </c>
      <c r="E7" s="52">
        <v>0.05</v>
      </c>
      <c r="F7" s="52">
        <v>0.05</v>
      </c>
      <c r="G7" s="52">
        <v>0.05</v>
      </c>
      <c r="H7" s="52">
        <v>0.05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31" s="10" customFormat="1" ht="15" customHeight="1" x14ac:dyDescent="0.25">
      <c r="B8" s="68" t="s">
        <v>79</v>
      </c>
      <c r="C8" s="51" t="s">
        <v>77</v>
      </c>
      <c r="D8" s="52">
        <v>0.05</v>
      </c>
      <c r="E8" s="52">
        <v>0.05</v>
      </c>
      <c r="F8" s="52">
        <v>0.05</v>
      </c>
      <c r="G8" s="52">
        <v>0.05</v>
      </c>
      <c r="H8" s="52">
        <v>0.05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pans="1:31" s="10" customFormat="1" ht="15" customHeight="1" x14ac:dyDescent="0.25">
      <c r="B9" s="68" t="s">
        <v>79</v>
      </c>
      <c r="C9" s="51" t="s">
        <v>78</v>
      </c>
      <c r="D9" s="52">
        <v>0.05</v>
      </c>
      <c r="E9" s="52">
        <v>0.05</v>
      </c>
      <c r="F9" s="52">
        <v>0.05</v>
      </c>
      <c r="G9" s="52">
        <v>0.05</v>
      </c>
      <c r="H9" s="52">
        <v>0.05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s="10" customFormat="1" ht="15" customHeight="1" x14ac:dyDescent="0.25">
      <c r="B10" s="80" t="s">
        <v>32</v>
      </c>
      <c r="C10" s="81"/>
      <c r="D10" s="52">
        <f>AVERAGE(D7:D9)</f>
        <v>5.000000000000001E-2</v>
      </c>
      <c r="E10" s="52">
        <f t="shared" ref="E10:H10" si="0">AVERAGE(E7:E9)</f>
        <v>5.000000000000001E-2</v>
      </c>
      <c r="F10" s="52">
        <f t="shared" si="0"/>
        <v>5.000000000000001E-2</v>
      </c>
      <c r="G10" s="52">
        <f t="shared" si="0"/>
        <v>5.000000000000001E-2</v>
      </c>
      <c r="H10" s="52">
        <f t="shared" si="0"/>
        <v>5.000000000000001E-2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2" spans="1:31" x14ac:dyDescent="0.25">
      <c r="B12" s="79" t="s">
        <v>36</v>
      </c>
      <c r="C12" s="79"/>
    </row>
    <row r="13" spans="1:31" x14ac:dyDescent="0.25">
      <c r="B13" s="23" t="s">
        <v>68</v>
      </c>
      <c r="C13" s="23" t="s">
        <v>69</v>
      </c>
    </row>
    <row r="14" spans="1:31" x14ac:dyDescent="0.25">
      <c r="B14" s="27" t="s">
        <v>95</v>
      </c>
      <c r="C14" s="69">
        <v>7017059.3127730154</v>
      </c>
    </row>
    <row r="15" spans="1:31" x14ac:dyDescent="0.25">
      <c r="B15" s="27" t="s">
        <v>35</v>
      </c>
      <c r="C15" s="47">
        <f>(1+PARÁMETROS!G5)*(1+PARÁMETROS!E5)-1</f>
        <v>-2.7864999999999918E-2</v>
      </c>
    </row>
    <row r="16" spans="1:31" x14ac:dyDescent="0.25">
      <c r="B16" s="50" t="s">
        <v>96</v>
      </c>
      <c r="C16" s="66">
        <f>C14*(1+$C$15)^7</f>
        <v>5757596.2046452593</v>
      </c>
    </row>
    <row r="17" spans="2:5" x14ac:dyDescent="0.25">
      <c r="B17" s="27" t="s">
        <v>37</v>
      </c>
      <c r="C17" s="48">
        <v>0.51200000000000001</v>
      </c>
    </row>
    <row r="18" spans="2:5" x14ac:dyDescent="0.25">
      <c r="B18" s="50" t="s">
        <v>97</v>
      </c>
      <c r="C18" s="66">
        <f>+C16*C17</f>
        <v>2947889.2567783729</v>
      </c>
    </row>
    <row r="19" spans="2:5" x14ac:dyDescent="0.25">
      <c r="B19" s="27" t="s">
        <v>98</v>
      </c>
      <c r="C19" s="65">
        <v>100000</v>
      </c>
    </row>
    <row r="20" spans="2:5" x14ac:dyDescent="0.25">
      <c r="B20" s="27" t="s">
        <v>38</v>
      </c>
      <c r="C20" s="71">
        <f>SUM(D10:H10)</f>
        <v>0.25000000000000006</v>
      </c>
    </row>
    <row r="21" spans="2:5" x14ac:dyDescent="0.25">
      <c r="B21" s="50" t="s">
        <v>99</v>
      </c>
      <c r="C21" s="66">
        <f>(C16+C18)*C20+C19</f>
        <v>2276371.3653559084</v>
      </c>
      <c r="E21" s="72"/>
    </row>
    <row r="22" spans="2:5" x14ac:dyDescent="0.25">
      <c r="B22" s="2" t="s">
        <v>80</v>
      </c>
      <c r="C22" s="70">
        <v>26646040423.106201</v>
      </c>
    </row>
    <row r="23" spans="2:5" x14ac:dyDescent="0.25">
      <c r="B23" s="2" t="s">
        <v>81</v>
      </c>
      <c r="C23" s="26">
        <v>10443.146667000001</v>
      </c>
    </row>
    <row r="24" spans="2:5" x14ac:dyDescent="0.25">
      <c r="B24" s="2" t="s">
        <v>82</v>
      </c>
      <c r="C24" s="70">
        <v>394394.92</v>
      </c>
    </row>
    <row r="25" spans="2:5" x14ac:dyDescent="0.25">
      <c r="B25" s="2" t="s">
        <v>71</v>
      </c>
      <c r="C25" s="12">
        <v>8.7999999999999995E-2</v>
      </c>
    </row>
    <row r="26" spans="2:5" x14ac:dyDescent="0.25">
      <c r="B26" s="2" t="s">
        <v>83</v>
      </c>
      <c r="C26" s="18">
        <v>0.1198</v>
      </c>
    </row>
    <row r="27" spans="2:5" x14ac:dyDescent="0.25">
      <c r="B27" s="3" t="s">
        <v>93</v>
      </c>
      <c r="C27" s="64">
        <f>(C21/(SUM(C22:C24))*(1+C25)*(1+C26))</f>
        <v>1.0408141594031596E-4</v>
      </c>
    </row>
    <row r="28" spans="2:5" x14ac:dyDescent="0.25">
      <c r="C28" s="11"/>
    </row>
    <row r="31" spans="2:5" x14ac:dyDescent="0.25">
      <c r="B31" s="13"/>
      <c r="C31" s="13"/>
    </row>
    <row r="32" spans="2:5" x14ac:dyDescent="0.25">
      <c r="B32" s="13"/>
      <c r="C32" s="13"/>
    </row>
  </sheetData>
  <mergeCells count="2">
    <mergeCell ref="B12:C12"/>
    <mergeCell ref="B10:C10"/>
  </mergeCells>
  <pageMargins left="0.7" right="0.7" top="0.75" bottom="0.75" header="0.3" footer="0.3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showGridLines="0" tabSelected="1" view="pageBreakPreview" zoomScale="115" zoomScaleNormal="100" zoomScaleSheetLayoutView="115" workbookViewId="0">
      <selection activeCell="G11" sqref="G11"/>
    </sheetView>
  </sheetViews>
  <sheetFormatPr baseColWidth="10" defaultRowHeight="15" x14ac:dyDescent="0.25"/>
  <cols>
    <col min="1" max="1" width="4.42578125" customWidth="1"/>
    <col min="5" max="5" width="21.140625" customWidth="1"/>
    <col min="6" max="6" width="20.140625" customWidth="1"/>
    <col min="7" max="7" width="33.7109375" customWidth="1"/>
  </cols>
  <sheetData>
    <row r="2" spans="1:7" ht="21" x14ac:dyDescent="0.35">
      <c r="A2" s="1" t="s">
        <v>84</v>
      </c>
    </row>
    <row r="4" spans="1:7" ht="47.25" customHeight="1" thickBot="1" x14ac:dyDescent="0.3">
      <c r="B4" s="16" t="s">
        <v>33</v>
      </c>
      <c r="C4" s="17" t="s">
        <v>86</v>
      </c>
      <c r="E4" s="16" t="s">
        <v>56</v>
      </c>
      <c r="G4" s="16" t="s">
        <v>106</v>
      </c>
    </row>
    <row r="5" spans="1:7" ht="15.75" thickBot="1" x14ac:dyDescent="0.3">
      <c r="B5" s="4">
        <v>44562</v>
      </c>
      <c r="C5" s="5">
        <v>3.8879999999999999</v>
      </c>
      <c r="E5" s="46">
        <v>2.3300000000000001E-2</v>
      </c>
      <c r="G5" s="46">
        <v>-0.05</v>
      </c>
    </row>
    <row r="6" spans="1:7" ht="15.75" thickBot="1" x14ac:dyDescent="0.3">
      <c r="B6" s="4">
        <v>44593</v>
      </c>
      <c r="C6" s="5">
        <v>3.7909999999999999</v>
      </c>
      <c r="E6" s="15" t="s">
        <v>57</v>
      </c>
      <c r="G6" s="15" t="s">
        <v>58</v>
      </c>
    </row>
    <row r="7" spans="1:7" ht="15.75" thickBot="1" x14ac:dyDescent="0.3">
      <c r="B7" s="4">
        <v>44621</v>
      </c>
      <c r="C7" s="5">
        <v>3.7389999999999999</v>
      </c>
    </row>
    <row r="8" spans="1:7" ht="15.75" thickBot="1" x14ac:dyDescent="0.3">
      <c r="B8" s="4">
        <v>44652</v>
      </c>
      <c r="C8" s="5">
        <v>3.7410000000000001</v>
      </c>
    </row>
    <row r="9" spans="1:7" ht="15.75" thickBot="1" x14ac:dyDescent="0.3">
      <c r="B9" s="4">
        <v>44682</v>
      </c>
      <c r="C9" s="5">
        <v>3.7570000000000001</v>
      </c>
    </row>
    <row r="10" spans="1:7" ht="15.75" thickBot="1" x14ac:dyDescent="0.3">
      <c r="B10" s="4">
        <v>44713</v>
      </c>
      <c r="C10" s="5">
        <v>3.7480000000000002</v>
      </c>
    </row>
    <row r="11" spans="1:7" ht="15.75" thickBot="1" x14ac:dyDescent="0.3">
      <c r="B11" s="4">
        <v>44743</v>
      </c>
      <c r="C11" s="5">
        <v>3.903</v>
      </c>
    </row>
    <row r="12" spans="1:7" ht="15.75" thickBot="1" x14ac:dyDescent="0.3">
      <c r="B12" s="4">
        <v>44774</v>
      </c>
      <c r="C12" s="5">
        <v>3.8740000000000001</v>
      </c>
    </row>
    <row r="13" spans="1:7" ht="15.75" thickBot="1" x14ac:dyDescent="0.3">
      <c r="B13" s="6" t="s">
        <v>30</v>
      </c>
      <c r="C13" s="5">
        <v>3.899</v>
      </c>
    </row>
    <row r="14" spans="1:7" ht="15.75" thickBot="1" x14ac:dyDescent="0.3">
      <c r="B14" s="4">
        <v>44835</v>
      </c>
      <c r="C14" s="5">
        <v>3.9790000000000001</v>
      </c>
    </row>
    <row r="15" spans="1:7" ht="15.75" thickBot="1" x14ac:dyDescent="0.3">
      <c r="B15" s="4">
        <v>44866</v>
      </c>
      <c r="C15" s="5">
        <v>3.8769999999999998</v>
      </c>
    </row>
    <row r="16" spans="1:7" ht="15.75" thickBot="1" x14ac:dyDescent="0.3">
      <c r="B16" s="4">
        <v>44896</v>
      </c>
      <c r="C16" s="5">
        <v>3.8290000000000002</v>
      </c>
    </row>
    <row r="17" spans="2:3" ht="15.75" thickBot="1" x14ac:dyDescent="0.3">
      <c r="B17" s="4" t="s">
        <v>32</v>
      </c>
      <c r="C17" s="44">
        <f>AVERAGE(C5:C16)</f>
        <v>3.8354166666666667</v>
      </c>
    </row>
    <row r="18" spans="2:3" x14ac:dyDescent="0.25">
      <c r="B18" s="15" t="s">
        <v>85</v>
      </c>
    </row>
  </sheetData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ÍNDICE</vt:lpstr>
      <vt:lpstr>AT</vt:lpstr>
      <vt:lpstr>AT_DIF</vt:lpstr>
      <vt:lpstr>F&amp;R</vt:lpstr>
      <vt:lpstr>PP</vt:lpstr>
      <vt:lpstr>PARÁMETROS</vt:lpstr>
      <vt:lpstr>AT!Área_de_impresión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Ampuero Herrera</dc:creator>
  <cp:lastModifiedBy>Bruno Aranda Vega</cp:lastModifiedBy>
  <dcterms:created xsi:type="dcterms:W3CDTF">2024-04-24T16:25:19Z</dcterms:created>
  <dcterms:modified xsi:type="dcterms:W3CDTF">2024-07-04T21:57:06Z</dcterms:modified>
</cp:coreProperties>
</file>