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5480" windowHeight="7455" tabRatio="815"/>
  </bookViews>
  <sheets>
    <sheet name="RESULTADOS" sheetId="2" r:id="rId1"/>
    <sheet name="Inversiones" sheetId="4" r:id="rId2"/>
    <sheet name="OPEX" sheetId="7" r:id="rId3"/>
    <sheet name="Minutos" sheetId="8" r:id="rId4"/>
    <sheet name="Tasa de dcto" sheetId="5" r:id="rId5"/>
    <sheet name="INPUT PARAMETROS" sheetId="35" r:id="rId6"/>
  </sheets>
  <definedNames>
    <definedName name="__new11" hidden="1">{#N/A,#N/A,FALSE,"Global by BU";#N/A,#N/A,FALSE,"U.S. by BU";#N/A,#N/A,FALSE,"Canada by BU";#N/A,#N/A,FALSE,"Europe by BU";#N/A,#N/A,FALSE,"Asia by BU";#N/A,#N/A,FALSE,"Cala by BU"}</definedName>
    <definedName name="a" hidden="1">{"'Apr-00'!$B$4:$AD$44"}</definedName>
    <definedName name="aa" hidden="1">{"'Apr-00'!$B$4:$AD$44"}</definedName>
    <definedName name="aaa" hidden="1">{"'Apr-00'!$B$4:$AD$44"}</definedName>
    <definedName name="anscount" hidden="1">1</definedName>
    <definedName name="dga" hidden="1">{#N/A,#N/A,FALSE,"$170M Cash";#N/A,#N/A,FALSE,"$250M Cash";#N/A,#N/A,FALSE,"$325M Cash"}</definedName>
    <definedName name="HTML_CodePage" hidden="1">1252</definedName>
    <definedName name="HTML_Control" hidden="1">{"'Apr-00'!$B$4:$AD$44"}</definedName>
    <definedName name="HTML_Description" hidden="1">""</definedName>
    <definedName name="HTML_Email" hidden="1">""</definedName>
    <definedName name="HTML_Header" hidden="1">"Service Provider March 31, 2000 Headcount"</definedName>
    <definedName name="HTML_LastUpdate" hidden="1">"4/11/00"</definedName>
    <definedName name="HTML_LineAfter" hidden="1">FALSE</definedName>
    <definedName name="HTML_LineBefore" hidden="1">FALSE</definedName>
    <definedName name="HTML_Name" hidden="1">"Craig Hurt/Ken Knight"</definedName>
    <definedName name="HTML_OBDlg2" hidden="1">TRUE</definedName>
    <definedName name="HTML_OBDlg4" hidden="1">TRUE</definedName>
    <definedName name="HTML_OS" hidden="1">0</definedName>
    <definedName name="HTML_PathFile" hidden="1">"E:\Heads\html docs\events.htm"</definedName>
    <definedName name="HTML_Title" hidden="1">"SP&amp;CG April 2000 headcount"</definedName>
    <definedName name="HTMLControl" hidden="1">{"'Edit'!$A$1:$V$2277"}</definedName>
    <definedName name="IGV">'INPUT PARAMETROS'!$D$14</definedName>
    <definedName name="jj" hidden="1">{"'Apr-00'!$B$4:$AD$44"}</definedName>
    <definedName name="na" hidden="1">{#N/A,#N/A,FALSE,"$170M Cash";#N/A,#N/A,FALSE,"$250M Cash";#N/A,#N/A,FALSE,"$325M Cash"}</definedName>
    <definedName name="new" hidden="1">{#N/A,#N/A,FALSE,"Global by BU";#N/A,#N/A,FALSE,"U.S. by BU";#N/A,#N/A,FALSE,"Canada by BU";#N/A,#N/A,FALSE,"Europe by BU";#N/A,#N/A,FALSE,"Asia by BU";#N/A,#N/A,FALSE,"Cala by BU"}</definedName>
    <definedName name="OVERHEAD">'INPUT PARAMETROS'!$D$5</definedName>
    <definedName name="print" hidden="1">{#N/A,#N/A,FALSE,"$170M Cash";#N/A,#N/A,FALSE,"$250M Cash";#N/A,#N/A,FALSE,"$325M Cash"}</definedName>
    <definedName name="t" hidden="1">{"'Apr-00'!$B$4:$AD$44"}</definedName>
    <definedName name="TipoCambio">'INPUT PARAMETROS'!$D$9</definedName>
    <definedName name="WACC">'Tasa de dcto'!$C$5</definedName>
    <definedName name="wrn.LPU._.MG.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wrn.Month._.Report._.Package." hidden="1">{#N/A,#N/A,FALSE,"Global Wls Trend";#N/A,#N/A,FALSE,"Region Trend";#N/A,#N/A,FALSE,"PBU Trend"}</definedName>
    <definedName name="wrn.Monthly._.Report._.Package." hidden="1">{#N/A,#N/A,FALSE,"Global by BU";#N/A,#N/A,FALSE,"U.S. by BU";#N/A,#N/A,FALSE,"Canada by BU";#N/A,#N/A,FALSE,"Europe by BU";#N/A,#N/A,FALSE,"Asia by BU";#N/A,#N/A,FALSE,"Cala by BU"}</definedName>
    <definedName name="wrn.print._.all." hidden="1">{#N/A,#N/A,FALSE,"$170M Cash";#N/A,#N/A,FALSE,"$250M Cash";#N/A,#N/A,FALSE,"$325M Cash"}</definedName>
    <definedName name="wrn1.print._.all." hidden="1">{#N/A,#N/A,FALSE,"$170M Cash";#N/A,#N/A,FALSE,"$250M Cash";#N/A,#N/A,FALSE,"$325M Cash"}</definedName>
    <definedName name="wrt" hidden="1">{#N/A,#N/A,FALSE,"$170M Cash";#N/A,#N/A,FALSE,"$250M Cash";#N/A,#N/A,FALSE,"$325M Cash"}</definedName>
    <definedName name="xo" hidden="1">{#N/A,#N/A,FALSE,"Global by BU";#N/A,#N/A,FALSE,"U.S. by BU";#N/A,#N/A,FALSE,"Canada by BU";#N/A,#N/A,FALSE,"Europe by BU";#N/A,#N/A,FALSE,"Asia by BU";#N/A,#N/A,FALSE,"Cala by BU"}</definedName>
  </definedNames>
  <calcPr calcId="125725" iterateCount="1000"/>
</workbook>
</file>

<file path=xl/calcChain.xml><?xml version="1.0" encoding="utf-8"?>
<calcChain xmlns="http://schemas.openxmlformats.org/spreadsheetml/2006/main">
  <c r="C10" i="8"/>
  <c r="C29" l="1"/>
  <c r="C44" l="1"/>
  <c r="D19" i="2" l="1"/>
  <c r="C57" i="7"/>
  <c r="K61"/>
  <c r="D27" i="2"/>
  <c r="C23" i="7" l="1"/>
  <c r="C44" l="1"/>
  <c r="C14"/>
  <c r="D23" i="35" l="1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C17" i="4" l="1"/>
  <c r="E55" l="1"/>
  <c r="F55" s="1"/>
  <c r="E42"/>
  <c r="E47"/>
  <c r="E46"/>
  <c r="E45"/>
  <c r="E44"/>
  <c r="E40"/>
  <c r="C33"/>
  <c r="C18"/>
  <c r="C45" i="8" l="1"/>
  <c r="F45"/>
  <c r="C12" i="7" l="1"/>
  <c r="B23" l="1"/>
  <c r="B14"/>
  <c r="H50" i="4" l="1"/>
  <c r="H47"/>
  <c r="H45"/>
  <c r="H42"/>
  <c r="H40"/>
  <c r="H55"/>
  <c r="H48"/>
  <c r="H46"/>
  <c r="H44"/>
  <c r="H41"/>
  <c r="F3" i="7"/>
  <c r="L58"/>
  <c r="K59"/>
  <c r="C41" l="1"/>
  <c r="I55" i="4"/>
  <c r="F44" i="8" l="1"/>
  <c r="F46" s="1"/>
  <c r="F47" s="1"/>
  <c r="C46"/>
  <c r="C47" s="1"/>
  <c r="F49"/>
  <c r="C49"/>
  <c r="C50" l="1"/>
  <c r="D57" s="1"/>
  <c r="D9" s="1"/>
  <c r="D56"/>
  <c r="D8" s="1"/>
  <c r="E56"/>
  <c r="E8" s="1"/>
  <c r="F50"/>
  <c r="E57" s="1"/>
  <c r="E9" s="1"/>
  <c r="C55" i="7"/>
  <c r="C59" s="1"/>
  <c r="D17" i="2" s="1"/>
  <c r="C21" i="7"/>
  <c r="C57" i="8" l="1"/>
  <c r="C4" s="1"/>
  <c r="C56"/>
  <c r="C8" l="1"/>
  <c r="C13" i="4" s="1"/>
  <c r="C20" s="1"/>
  <c r="C63" s="1"/>
  <c r="C9" i="8"/>
  <c r="D27" i="4" l="1"/>
  <c r="D28" s="1"/>
  <c r="D29" s="1"/>
  <c r="F44"/>
  <c r="I44" s="1"/>
  <c r="C46" i="7"/>
  <c r="F40" i="4"/>
  <c r="I40" s="1"/>
  <c r="C64"/>
  <c r="C45" i="7" s="1"/>
  <c r="C47" s="1"/>
  <c r="F45" i="4"/>
  <c r="I45" s="1"/>
  <c r="E27"/>
  <c r="E28" s="1"/>
  <c r="E29" s="1"/>
  <c r="C34" i="7"/>
  <c r="C35" s="1"/>
  <c r="F42" i="4"/>
  <c r="I42" s="1"/>
  <c r="F46"/>
  <c r="I46" s="1"/>
  <c r="F47"/>
  <c r="I47" s="1"/>
  <c r="D9" i="2" l="1"/>
  <c r="C28" i="4"/>
  <c r="C48" s="1"/>
  <c r="C29"/>
  <c r="C34" s="1"/>
  <c r="C27"/>
  <c r="D18" i="2"/>
  <c r="D20" s="1"/>
  <c r="E48" i="4"/>
  <c r="F48" s="1"/>
  <c r="I48" s="1"/>
  <c r="D50" l="1"/>
  <c r="E50" s="1"/>
  <c r="F50" s="1"/>
  <c r="I50" s="1"/>
  <c r="C41"/>
  <c r="E41" s="1"/>
  <c r="F41" s="1"/>
  <c r="I41" l="1"/>
  <c r="C59" s="1"/>
  <c r="C60" s="1"/>
  <c r="C5" l="1"/>
  <c r="D7" i="2" s="1"/>
  <c r="D11" l="1"/>
  <c r="C11" i="7"/>
  <c r="C20" s="1"/>
  <c r="C10" l="1"/>
  <c r="C19" l="1"/>
  <c r="C22" s="1"/>
  <c r="C24" s="1"/>
  <c r="C13"/>
  <c r="C15" s="1"/>
  <c r="C26" l="1"/>
  <c r="D8" i="2"/>
  <c r="D10" s="1"/>
  <c r="D12" s="1"/>
  <c r="D23" s="1"/>
  <c r="D24" l="1"/>
  <c r="D26" s="1"/>
</calcChain>
</file>

<file path=xl/sharedStrings.xml><?xml version="1.0" encoding="utf-8"?>
<sst xmlns="http://schemas.openxmlformats.org/spreadsheetml/2006/main" count="242" uniqueCount="156">
  <si>
    <t>TC</t>
  </si>
  <si>
    <t>Costos directos</t>
  </si>
  <si>
    <t>Vida Util (años)</t>
  </si>
  <si>
    <t>Factor de anualización</t>
  </si>
  <si>
    <t>Anualización (US$)</t>
  </si>
  <si>
    <t>Tasa de descuento</t>
  </si>
  <si>
    <t>Impuesto a la Renta</t>
  </si>
  <si>
    <t>Participación de los trabajadores</t>
  </si>
  <si>
    <t>WACC AMTL</t>
  </si>
  <si>
    <t>Costos compartidos</t>
  </si>
  <si>
    <t>COSTOS DIRECTOS</t>
  </si>
  <si>
    <t>EXPLOTACIÓN Y OPERACIÓN DE TRÁFICOS</t>
  </si>
  <si>
    <t>Costo por 1000000 de llamadas</t>
  </si>
  <si>
    <t>unidad</t>
  </si>
  <si>
    <t>USD</t>
  </si>
  <si>
    <t>Número de llamadas</t>
  </si>
  <si>
    <t>Número de minutos</t>
  </si>
  <si>
    <t>Duración promedio por llamada</t>
  </si>
  <si>
    <t>GESTIÓN DE TRÁFICO</t>
  </si>
  <si>
    <t>llamadas</t>
  </si>
  <si>
    <t>minutos</t>
  </si>
  <si>
    <t>COSTOS COMPARTIDOS</t>
  </si>
  <si>
    <t>SOPORTE DEL PROVEEDOR</t>
  </si>
  <si>
    <t>PERSONAL DEDICADO A LA PLATAFORMA</t>
  </si>
  <si>
    <t>Número de operarios dedicados</t>
  </si>
  <si>
    <t>% de dedicación</t>
  </si>
  <si>
    <t>operario</t>
  </si>
  <si>
    <t>%</t>
  </si>
  <si>
    <t xml:space="preserve">HOUSING DE LA PLATAFORMA (inc. energía, A.C., espacio físico) </t>
  </si>
  <si>
    <t>% de utilización de rack</t>
  </si>
  <si>
    <t>COSTO DE TARJETA PREPAGO: DISTRIBUCIÓN</t>
  </si>
  <si>
    <t>Comisión distribución tarjetas físicas</t>
  </si>
  <si>
    <t>Tarifa media nuevo tráfico</t>
  </si>
  <si>
    <t>COSTO DE TARJETA PREPAGO: IMPORTACIÓN Y ALMACENAMIENTO</t>
  </si>
  <si>
    <t>Costo por millar de tarjetas</t>
  </si>
  <si>
    <t>Denominación promedio</t>
  </si>
  <si>
    <t>OPEX PLATAFORMA PREPAGO - AMERICATEL PERÚ</t>
  </si>
  <si>
    <t>millares</t>
  </si>
  <si>
    <t>% dedicación a líneas control o producto prepago</t>
  </si>
  <si>
    <t>Total</t>
  </si>
  <si>
    <t>Costo mensual por operario</t>
  </si>
  <si>
    <t>Tráfico mensual nuevo</t>
  </si>
  <si>
    <t>prepago</t>
  </si>
  <si>
    <t>MOU control</t>
  </si>
  <si>
    <t>MOU pospago</t>
  </si>
  <si>
    <t>Cargo por acceso a la plataforma de pago (US$ / minuto)</t>
  </si>
  <si>
    <t>TOTAL COSTOS DIRECTOS</t>
  </si>
  <si>
    <t>PERSONAL VINCULADO A LA GESTIÓN DE TRÁFICO</t>
  </si>
  <si>
    <t>TASA DE DESCUENTO CALCULADA PARA EL ANÁLISIS</t>
  </si>
  <si>
    <t>RESULTADOS DEL ANÁLISIS</t>
  </si>
  <si>
    <t>GOS</t>
  </si>
  <si>
    <t>IGV</t>
  </si>
  <si>
    <t>numero de E1s requeridos</t>
  </si>
  <si>
    <t>numero de racks</t>
  </si>
  <si>
    <t>INSTALACION Y CAPACITACION 7E1</t>
  </si>
  <si>
    <t>INSTALACION Y CAPACITACION 14E1</t>
  </si>
  <si>
    <t>LICENCIA TDM</t>
  </si>
  <si>
    <t>GESTOR PLATAFORMA</t>
  </si>
  <si>
    <t>GESTOR SEÑALIZACION Y CANALES</t>
  </si>
  <si>
    <t>TRAFICO</t>
  </si>
  <si>
    <t>PRESELECCION LDI SALIENTE</t>
  </si>
  <si>
    <t>PRESELECCION LDN SALIENTE</t>
  </si>
  <si>
    <t>TARJETAS PREPAGO LDN SALIENTE</t>
  </si>
  <si>
    <t>TARJETAS PREPAGO LDI SALIENTE</t>
  </si>
  <si>
    <t>Numero de Racks Requeridos</t>
  </si>
  <si>
    <t>Numero de E1s</t>
  </si>
  <si>
    <t>CALCULO SEGÚN CAPACIDAD DIMENSIONADA</t>
  </si>
  <si>
    <t>Trafico Reportado por Operador</t>
  </si>
  <si>
    <t>Calculo de Capacidad</t>
  </si>
  <si>
    <t>Uso de equipamiento en Hora Pico reportado por operador</t>
  </si>
  <si>
    <t>Trafico promedio en dias normales</t>
  </si>
  <si>
    <t>% de tráfico diario en hora pico</t>
  </si>
  <si>
    <t>Tráfico diario (minutos)</t>
  </si>
  <si>
    <t>% tráfico en hora pico</t>
  </si>
  <si>
    <t>Tráfico en hora pico (minutos)</t>
  </si>
  <si>
    <t>Tráfico en hora pico (erl)</t>
  </si>
  <si>
    <t>Circuitos requeridos</t>
  </si>
  <si>
    <t>% margen tráfico elevado</t>
  </si>
  <si>
    <t>Resultado</t>
  </si>
  <si>
    <t>E1s requeridos</t>
  </si>
  <si>
    <t>Resultados</t>
  </si>
  <si>
    <t>Plataforma de Pago</t>
  </si>
  <si>
    <t>Numero de Plataformas</t>
  </si>
  <si>
    <t>Capacidad de E1 por plataforma</t>
  </si>
  <si>
    <t>Calculo de tarjetas hardware</t>
  </si>
  <si>
    <t>Tarjetas de 4 E1s</t>
  </si>
  <si>
    <t>Numero de Slots para tarjetas</t>
  </si>
  <si>
    <t>Capacidad Total de E1 por plataforma</t>
  </si>
  <si>
    <t>Porcentaje de utilizacion</t>
  </si>
  <si>
    <t>Numero de Canales de Voz requeridos</t>
  </si>
  <si>
    <t>Capacidad de Canales de Voz por plataforma</t>
  </si>
  <si>
    <t>(Capacidad máxima hardware E1 con tarjetas de 4E1)</t>
  </si>
  <si>
    <t>Sub Total</t>
  </si>
  <si>
    <t>Cantidad</t>
  </si>
  <si>
    <t>Enlace 1</t>
  </si>
  <si>
    <t>Enlace 2</t>
  </si>
  <si>
    <t>Parametro</t>
  </si>
  <si>
    <t>Canales de voz requeridos</t>
  </si>
  <si>
    <t>% de tráfico diario entre enlaces</t>
  </si>
  <si>
    <t>Configuracion de rutas para dimensionamiento</t>
  </si>
  <si>
    <t>Numero de E1s TDM requeridos</t>
  </si>
  <si>
    <t>Canales de voz para dimensionamiento</t>
  </si>
  <si>
    <t>Hardware</t>
  </si>
  <si>
    <t>Elemento</t>
  </si>
  <si>
    <t>Precio Unitario</t>
  </si>
  <si>
    <t>Software</t>
  </si>
  <si>
    <t>Base de datos</t>
  </si>
  <si>
    <t>Kit de instalacion</t>
  </si>
  <si>
    <t>Servicio de instalacion y capacitacion</t>
  </si>
  <si>
    <t>Costo de Servicio de instalacion y capacitacion</t>
  </si>
  <si>
    <t>Servicios</t>
  </si>
  <si>
    <t>Configuracion de plataforma spare</t>
  </si>
  <si>
    <t>Plataforma Spare</t>
  </si>
  <si>
    <t>Configuracion de Plataforma Prepago</t>
  </si>
  <si>
    <t>Valor Comercial</t>
  </si>
  <si>
    <t>Numero de Plataformas Spare</t>
  </si>
  <si>
    <t>Total de inversiones anualizadas</t>
  </si>
  <si>
    <t>Total de inversiones mensualizadas</t>
  </si>
  <si>
    <t>% utilizacion de rack</t>
  </si>
  <si>
    <t>Contribucion a cargo por acceso a la plataforma de pago (US$ / minuto)</t>
  </si>
  <si>
    <t>Numero Plataformas por Armario</t>
  </si>
  <si>
    <t>Duracion media de llamada</t>
  </si>
  <si>
    <t>Años</t>
  </si>
  <si>
    <t>Cargo por acceso a la plataforma de pago (Porcentaje sobre Tarifa)</t>
  </si>
  <si>
    <t>LRIC plataforma de pago (US$ / minuto)</t>
  </si>
  <si>
    <t>OVERHEAD</t>
  </si>
  <si>
    <t>LLAMADA X LLAMADA LDI SALIENTE</t>
  </si>
  <si>
    <t>LLAMADA X LLAMADA LDN SALIENTE</t>
  </si>
  <si>
    <t>Número de millares de tarjetas</t>
  </si>
  <si>
    <t>Costo 
(TELRIC con tarjetas) ANUAL</t>
  </si>
  <si>
    <t>Factor Anualizacion y Depreciacion</t>
  </si>
  <si>
    <t>Tipo de Cambio</t>
  </si>
  <si>
    <t>Nuevos Soles por USDolar</t>
  </si>
  <si>
    <t>Año 2009</t>
  </si>
  <si>
    <t>Impuesto General a las Ventas</t>
  </si>
  <si>
    <t>Anualización</t>
  </si>
  <si>
    <t>Costos por uso de Plataforma de Pago (USD)</t>
  </si>
  <si>
    <t>Costos por uso de Tarjetas de Pago (USD)</t>
  </si>
  <si>
    <t>Costo anual por E1</t>
  </si>
  <si>
    <t>RESULTADOS</t>
  </si>
  <si>
    <t>Analisis de Red Americatel</t>
  </si>
  <si>
    <t>Costo anual total</t>
  </si>
  <si>
    <t>Costo anual atribuible</t>
  </si>
  <si>
    <t>Costo anual atribuble</t>
  </si>
  <si>
    <t>Costo anual por rack</t>
  </si>
  <si>
    <t>Costo anual</t>
  </si>
  <si>
    <t>Minutos relevantes (anual)</t>
  </si>
  <si>
    <t>Total costos anuales</t>
  </si>
  <si>
    <t>Inversiones</t>
  </si>
  <si>
    <t>Total Inversiones</t>
  </si>
  <si>
    <t>Sistema operativo</t>
  </si>
  <si>
    <t>TARJETA 4E1</t>
  </si>
  <si>
    <t>Computador (Chasis)</t>
  </si>
  <si>
    <t>Costo</t>
  </si>
  <si>
    <t>Anual</t>
  </si>
  <si>
    <t>TOTAL</t>
  </si>
</sst>
</file>

<file path=xl/styles.xml><?xml version="1.0" encoding="utf-8"?>
<styleSheet xmlns="http://schemas.openxmlformats.org/spreadsheetml/2006/main">
  <numFmts count="74">
    <numFmt numFmtId="41" formatCode="_ * #,##0_ ;_ * \-#,##0_ ;_ * &quot;-&quot;_ ;_ @_ "/>
    <numFmt numFmtId="43" formatCode="_ * #,##0.00_ ;_ * \-#,##0.00_ ;_ * &quot;-&quot;??_ ;_ @_ "/>
    <numFmt numFmtId="164" formatCode="_-* #,##0.00\ _€_-;\-* #,##0.00\ _€_-;_-* &quot;-&quot;??\ _€_-;_-@_-"/>
    <numFmt numFmtId="165" formatCode="_ * #,##0_ ;_ * \-#,##0_ ;_ * &quot;-&quot;??_ ;_ @_ "/>
    <numFmt numFmtId="166" formatCode="_-* #,##0\ _€_-;\-* #,##0\ _€_-;_-* &quot;-&quot;??\ _€_-;_-@_-"/>
    <numFmt numFmtId="167" formatCode="0.0000"/>
    <numFmt numFmtId="168" formatCode="_ * #,##0.0_ ;_ * \-#,##0.0_ ;_ * &quot;-&quot;??_ ;_ @_ "/>
    <numFmt numFmtId="169" formatCode="0.0"/>
    <numFmt numFmtId="170" formatCode="0.000%"/>
    <numFmt numFmtId="171" formatCode="0.0%"/>
    <numFmt numFmtId="172" formatCode="_-* #,##0_-;\-* #,##0_-;_-* &quot;-&quot;??_-;_-@_-"/>
    <numFmt numFmtId="173" formatCode="_(* #,##0.00_);_(* \(#,##0.00\);_(* &quot;-&quot;??_);_(@_)"/>
    <numFmt numFmtId="174" formatCode="0000"/>
    <numFmt numFmtId="175" formatCode="000000"/>
    <numFmt numFmtId="176" formatCode="#,##0.0_);\(#,##0.0\)"/>
    <numFmt numFmtId="177" formatCode="_(* #,##0.0000_);_(* \(#,##0.0000\);_(* &quot;-&quot;??_);_(@_)"/>
    <numFmt numFmtId="178" formatCode="_(&quot;$&quot;* #,##0.00_);_(&quot;$&quot;* \(#,##0.00\);_(&quot;$&quot;* &quot;-&quot;??_);_(@_)"/>
    <numFmt numFmtId="179" formatCode="0.0%;\(0.0%\)"/>
    <numFmt numFmtId="180" formatCode="#,##0.00_);[Red]\-#,##0.00_);0.00_);@_)"/>
    <numFmt numFmtId="181" formatCode="_-* #,##0.00_-;\-* #,##0.00_-;_-* &quot;-&quot;??_-;_-@_-"/>
    <numFmt numFmtId="182" formatCode="#,##0;;"/>
    <numFmt numFmtId="183" formatCode="* _(#,##0.00_);[Red]* \(#,##0.00\);* _(&quot;-&quot;?_);@_)"/>
    <numFmt numFmtId="184" formatCode="_(&quot;$&quot;* #,##0_);_(&quot;$&quot;* \(#,##0\);_(&quot;$&quot;* &quot;-&quot;_);_(@_)"/>
    <numFmt numFmtId="185" formatCode="\$\ * _(#,##0_);[Red]\$\ * \(#,##0\);\$\ * _(&quot;-&quot;?_);@_)"/>
    <numFmt numFmtId="186" formatCode="\$\ * _(#,##0.00_);[Red]\$\ * \(#,##0.00\);\$\ * _(&quot;-&quot;?_);@_)"/>
    <numFmt numFmtId="187" formatCode="[$EUR]\ * _(#,##0_);[Red][$EUR]\ * \(#,##0\);[$EUR]\ * _(&quot;-&quot;?_);@_)"/>
    <numFmt numFmtId="188" formatCode="[$EUR]\ * _(#,##0.00_);[Red][$EUR]\ * \(#,##0.00\);[$EUR]\ * _(&quot;-&quot;?_);@_)"/>
    <numFmt numFmtId="189" formatCode="\€\ * _(#,##0_);[Red]\€\ * \(#,##0\);\€\ * _(&quot;-&quot;?_);@_)"/>
    <numFmt numFmtId="190" formatCode="\€\ * _(#,##0.00_);[Red]\€\ * \(#,##0.00\);\€\ * _(&quot;-&quot;?_);@_)"/>
    <numFmt numFmtId="191" formatCode="[$GBP]\ * _(#,##0_);[Red][$GBP]\ * \(#,##0\);[$GBP]\ * _(&quot;-&quot;?_);@_)"/>
    <numFmt numFmtId="192" formatCode="[$GBP]\ * _(#,##0.00_);[Red][$GBP]\ * \(#,##0.00\);[$GBP]\ * _(&quot;-&quot;?_);@_)"/>
    <numFmt numFmtId="193" formatCode="\£\ * _(#,##0_);[Red]\£\ * \(#,##0\);\£\ * _(&quot;-&quot;?_);@_)"/>
    <numFmt numFmtId="194" formatCode="\£\ * _(#,##0.00_);[Red]\£\ * \(#,##0.00\);\£\ * _(&quot;-&quot;?_);@_)"/>
    <numFmt numFmtId="195" formatCode="[$USD]\ * _(#,##0_);[Red][$USD]\ * \(#,##0\);[$USD]\ * _(&quot;-&quot;?_);@_)"/>
    <numFmt numFmtId="196" formatCode="[$USD]\ * _(#,##0.00_);[Red][$USD]\ * \(#,##0.00\);[$USD]\ * _(&quot;-&quot;?_);@_)"/>
    <numFmt numFmtId="197" formatCode="_-&quot;$&quot;* #,##0.00_-;\-&quot;$&quot;* #,##0.00_-;_-&quot;$&quot;* &quot;-&quot;??_-;_-@_-"/>
    <numFmt numFmtId="198" formatCode="&quot;$&quot;#,##0\ ;\(&quot;$&quot;#,##0\)"/>
    <numFmt numFmtId="199" formatCode="dd\ mmm\ yy"/>
    <numFmt numFmtId="200" formatCode="mmm\ yy_)"/>
    <numFmt numFmtId="201" formatCode="yyyy_)"/>
    <numFmt numFmtId="202" formatCode="dd\ mmm\ yy_)"/>
    <numFmt numFmtId="203" formatCode="_([$€-2]\ * #,##0.00_);_([$€-2]\ * \(#,##0.00\);_([$€-2]\ * &quot;-&quot;??_)"/>
    <numFmt numFmtId="204" formatCode="_(&quot;$&quot;* #,##0.0_);_(&quot;$&quot;* \(#,##0.0\);_(&quot;$&quot;* &quot;-&quot;??_);_(@_)"/>
    <numFmt numFmtId="205" formatCode="#,##0_);[Red]\-#,##0_);0_);@_)"/>
    <numFmt numFmtId="206" formatCode="_-* #,##0\ _F_B_-;\-* #,##0\ _F_B_-;_-* &quot;-&quot;\ _F_B_-;_-@_-"/>
    <numFmt numFmtId="207" formatCode="_-* #,##0.00\ _F_B_-;\-* #,##0.00\ _F_B_-;_-* &quot;-&quot;??\ _F_B_-;_-@_-"/>
    <numFmt numFmtId="208" formatCode="#,###"/>
    <numFmt numFmtId="209" formatCode="#,##0_ ;[Red]\-#,##0\ "/>
    <numFmt numFmtId="210" formatCode="#,##0.0;\-#,##0.0;&quot;-&quot;"/>
    <numFmt numFmtId="211" formatCode="&quot;S/.&quot;#,##0.00;[Red]&quot;S/.&quot;\-#,##0.00"/>
    <numFmt numFmtId="212" formatCode="_-* #,##0\ _F_-;\-* #,##0\ _F_-;_-* &quot;-&quot;\ _F_-;_-@_-"/>
    <numFmt numFmtId="213" formatCode="_-* #,##0.00\ _F_-;\-* #,##0.00\ _F_-;_-* &quot;-&quot;??\ _F_-;_-@_-"/>
    <numFmt numFmtId="214" formatCode="_(&quot;R$ &quot;* #,##0_);_(&quot;R$ &quot;* \(#,##0\);_(&quot;R$ &quot;* &quot;-&quot;_);_(@_)"/>
    <numFmt numFmtId="215" formatCode="_(&quot;R$ &quot;* #,##0.00_);_(&quot;R$ &quot;* \(#,##0.00\);_(&quot;R$ &quot;* &quot;-&quot;??_);_(@_)"/>
    <numFmt numFmtId="216" formatCode="_-* #,##0\ &quot;F&quot;_-;\-* #,##0\ &quot;F&quot;_-;_-* &quot;-&quot;\ &quot;F&quot;_-;_-@_-"/>
    <numFmt numFmtId="217" formatCode="_-* #,##0.00\ &quot;F&quot;_-;\-* #,##0.00\ &quot;F&quot;_-;_-* &quot;-&quot;??\ &quot;F&quot;_-;_-@_-"/>
    <numFmt numFmtId="218" formatCode="\$#,"/>
    <numFmt numFmtId="219" formatCode="0%;[Red]\-0%"/>
    <numFmt numFmtId="220" formatCode="#,##0.00%;[Red]\-#,##0.00%;0.00%;@_)"/>
    <numFmt numFmtId="221" formatCode="#,##0%;[Red]\-#,##0%;0%;@_)"/>
    <numFmt numFmtId="222" formatCode="&quot;$&quot;#,##0_);\(&quot;$&quot;#,##0\)"/>
    <numFmt numFmtId="223" formatCode="#.##000"/>
    <numFmt numFmtId="224" formatCode="#.##0,"/>
    <numFmt numFmtId="225" formatCode="mm/dd/yy"/>
    <numFmt numFmtId="226" formatCode="\(#,##0\);;"/>
    <numFmt numFmtId="227" formatCode="_-* #,##0\ _P_t_s_-;\-* #,##0\ _P_t_s_-;_-* &quot;-&quot;\ _P_t_s_-;_-@_-"/>
    <numFmt numFmtId="228" formatCode="0.00%;[Red]\-0.00%"/>
    <numFmt numFmtId="229" formatCode="\ #"/>
    <numFmt numFmtId="230" formatCode="_-&quot;£&quot;* #,##0_-;\-&quot;£&quot;* #,##0_-;_-&quot;£&quot;* &quot;-&quot;_-;_-@_-"/>
    <numFmt numFmtId="231" formatCode="_-* #,##0\ &quot;FB&quot;_-;\-* #,##0\ &quot;FB&quot;_-;_-* &quot;-&quot;\ &quot;FB&quot;_-;_-@_-"/>
    <numFmt numFmtId="232" formatCode="_-&quot;£&quot;* #,##0.00_-;\-&quot;£&quot;* #,##0.00_-;_-&quot;£&quot;* &quot;-&quot;??_-;_-@_-"/>
    <numFmt numFmtId="233" formatCode="_(* #,##0_);_(* \(#,##0\);_(* &quot;-&quot;_);_(@_)"/>
    <numFmt numFmtId="234" formatCode="_ * #,##0.000_ ;_ * \-#,##0.000_ ;_ * &quot;-&quot;??_ ;_ @_ "/>
    <numFmt numFmtId="235" formatCode="#,##0.0"/>
  </numFmts>
  <fonts count="14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4"/>
      <color indexed="10"/>
      <name val="Calibri"/>
      <family val="2"/>
    </font>
    <font>
      <i/>
      <sz val="9"/>
      <color indexed="8"/>
      <name val="Calibri"/>
      <family val="2"/>
    </font>
    <font>
      <i/>
      <sz val="8"/>
      <color indexed="8"/>
      <name val="Calibri"/>
      <family val="2"/>
    </font>
    <font>
      <i/>
      <sz val="8"/>
      <name val="Calibri"/>
      <family val="2"/>
    </font>
    <font>
      <sz val="8"/>
      <color indexed="8"/>
      <name val="Calibri"/>
      <family val="2"/>
    </font>
    <font>
      <i/>
      <sz val="8"/>
      <color indexed="8"/>
      <name val="Calibri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indexed="9"/>
      <name val="Arial"/>
      <family val="2"/>
    </font>
    <font>
      <sz val="9"/>
      <name val="Arial"/>
      <family val="2"/>
    </font>
    <font>
      <b/>
      <sz val="9"/>
      <color indexed="18"/>
      <name val="Arial"/>
      <family val="2"/>
    </font>
    <font>
      <b/>
      <u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i/>
      <sz val="9"/>
      <color indexed="16"/>
      <name val="Arial"/>
      <family val="2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b/>
      <i/>
      <sz val="9"/>
      <color indexed="33"/>
      <name val="Arial"/>
      <family val="2"/>
    </font>
    <font>
      <sz val="10"/>
      <name val="Geneva"/>
    </font>
    <font>
      <sz val="10"/>
      <name val="Helv"/>
      <family val="2"/>
    </font>
    <font>
      <sz val="10"/>
      <color indexed="8"/>
      <name val="MS Sans Serif"/>
      <family val="2"/>
    </font>
    <font>
      <sz val="12"/>
      <name val="Times New Roman"/>
      <family val="1"/>
    </font>
    <font>
      <sz val="10"/>
      <name val="Helv"/>
      <charset val="204"/>
    </font>
    <font>
      <sz val="10"/>
      <name val="Helv"/>
    </font>
    <font>
      <sz val="10"/>
      <name val="Arial CE"/>
      <charset val="238"/>
    </font>
    <font>
      <sz val="10"/>
      <name val="Geneva"/>
      <family val="2"/>
    </font>
    <font>
      <sz val="8"/>
      <name val="Antique Olive"/>
      <family val="2"/>
    </font>
    <font>
      <sz val="8"/>
      <name val="Geneva"/>
    </font>
    <font>
      <b/>
      <sz val="9"/>
      <name val="Arial"/>
      <family val="2"/>
    </font>
    <font>
      <b/>
      <sz val="10"/>
      <name val="Arial MT"/>
    </font>
    <font>
      <sz val="11"/>
      <color indexed="9"/>
      <name val="Calibri"/>
      <family val="2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b/>
      <sz val="12"/>
      <color indexed="12"/>
      <name val="Times New Roman"/>
      <family val="1"/>
      <charset val="177"/>
    </font>
    <font>
      <sz val="8"/>
      <name val="Arial"/>
      <family val="2"/>
    </font>
    <font>
      <b/>
      <sz val="1"/>
      <color indexed="8"/>
      <name val="Courier"/>
      <family val="3"/>
    </font>
    <font>
      <sz val="9"/>
      <color indexed="8"/>
      <name val="Arial"/>
      <family val="2"/>
    </font>
    <font>
      <sz val="10"/>
      <name val="Times New Roman"/>
      <family val="1"/>
    </font>
    <font>
      <sz val="9"/>
      <color indexed="10"/>
      <name val="Geneva"/>
    </font>
    <font>
      <b/>
      <sz val="10"/>
      <name val="Helv"/>
    </font>
    <font>
      <i/>
      <sz val="9"/>
      <color indexed="55"/>
      <name val="Arial"/>
      <family val="2"/>
    </font>
    <font>
      <b/>
      <sz val="11"/>
      <color indexed="9"/>
      <name val="Calibri"/>
      <family val="2"/>
    </font>
    <font>
      <sz val="9"/>
      <name val="Helv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b/>
      <sz val="8"/>
      <color indexed="8"/>
      <name val="Arial"/>
      <family val="2"/>
    </font>
    <font>
      <sz val="12"/>
      <color indexed="24"/>
      <name val="Arial"/>
      <family val="2"/>
    </font>
    <font>
      <sz val="10"/>
      <name val="BERNHARD"/>
    </font>
    <font>
      <sz val="8"/>
      <color indexed="12"/>
      <name val="Tahoma"/>
      <family val="2"/>
    </font>
    <font>
      <sz val="10"/>
      <name val="MS Serif"/>
      <family val="1"/>
    </font>
    <font>
      <sz val="10"/>
      <name val="Courier"/>
      <family val="3"/>
    </font>
    <font>
      <sz val="8"/>
      <name val="Helv"/>
    </font>
    <font>
      <sz val="1"/>
      <color indexed="8"/>
      <name val="Courier"/>
      <family val="3"/>
    </font>
    <font>
      <sz val="10"/>
      <name val="TheSansCorrespondence"/>
    </font>
    <font>
      <sz val="10"/>
      <name val="TheSansCorrespondence"/>
      <family val="2"/>
    </font>
    <font>
      <sz val="10"/>
      <color indexed="16"/>
      <name val="MS Serif"/>
      <family val="1"/>
    </font>
    <font>
      <b/>
      <sz val="10"/>
      <color indexed="14"/>
      <name val="Arial"/>
      <family val="2"/>
    </font>
    <font>
      <sz val="8"/>
      <name val="Comic Sans MS"/>
      <family val="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8"/>
      <name val="MS Sans Serif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heSansCorrespondence"/>
      <family val="2"/>
    </font>
    <font>
      <u/>
      <sz val="10"/>
      <color indexed="12"/>
      <name val="Times New Roman"/>
      <family val="1"/>
    </font>
    <font>
      <b/>
      <i/>
      <sz val="10"/>
      <color indexed="62"/>
      <name val="Arial"/>
      <family val="2"/>
    </font>
    <font>
      <sz val="10"/>
      <color indexed="12"/>
      <name val="Times New Roman"/>
      <family val="1"/>
    </font>
    <font>
      <sz val="12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9"/>
      <name val="Helv"/>
    </font>
    <font>
      <sz val="10"/>
      <color indexed="18"/>
      <name val="Arial"/>
      <family val="2"/>
    </font>
    <font>
      <b/>
      <sz val="18"/>
      <name val="Times New Roman"/>
      <family val="1"/>
    </font>
    <font>
      <sz val="10"/>
      <color indexed="11"/>
      <name val="Helv"/>
    </font>
    <font>
      <sz val="10"/>
      <name val="MS Sans Serif"/>
      <family val="2"/>
    </font>
    <font>
      <b/>
      <sz val="11"/>
      <name val="Helv"/>
    </font>
    <font>
      <i/>
      <sz val="10"/>
      <color indexed="16"/>
      <name val="Times New Roman"/>
      <family val="1"/>
    </font>
    <font>
      <sz val="7"/>
      <name val="Small Fonts"/>
      <family val="2"/>
    </font>
    <font>
      <sz val="10"/>
      <color theme="1"/>
      <name val="Helvetica"/>
    </font>
    <font>
      <sz val="8"/>
      <color indexed="10"/>
      <name val="Times New Roman"/>
      <family val="1"/>
    </font>
    <font>
      <i/>
      <sz val="9"/>
      <color indexed="12"/>
      <name val="Helv"/>
    </font>
    <font>
      <sz val="11"/>
      <name val="‚l‚r –¾’©"/>
      <charset val="128"/>
    </font>
    <font>
      <i/>
      <sz val="9"/>
      <color indexed="10"/>
      <name val="Arial"/>
      <family val="2"/>
    </font>
    <font>
      <b/>
      <sz val="10"/>
      <name val="MS Sans Serif"/>
      <family val="2"/>
    </font>
    <font>
      <b/>
      <sz val="12"/>
      <color indexed="10"/>
      <name val="Times New Roman"/>
      <family val="1"/>
      <charset val="177"/>
    </font>
    <font>
      <sz val="10"/>
      <color indexed="14"/>
      <name val="MS Sans Serif"/>
      <family val="2"/>
    </font>
    <font>
      <sz val="10"/>
      <color indexed="10"/>
      <name val="MS Sans Serif"/>
      <family val="2"/>
    </font>
    <font>
      <sz val="7"/>
      <name val="Arial"/>
      <family val="2"/>
    </font>
    <font>
      <b/>
      <sz val="12"/>
      <color indexed="9"/>
      <name val="Arial"/>
      <family val="2"/>
    </font>
    <font>
      <b/>
      <sz val="14"/>
      <name val="Times New Roman"/>
      <family val="1"/>
    </font>
    <font>
      <sz val="7"/>
      <name val="Geneva"/>
    </font>
    <font>
      <b/>
      <i/>
      <sz val="10"/>
      <color indexed="8"/>
      <name val="Arial"/>
      <family val="2"/>
    </font>
    <font>
      <b/>
      <sz val="12"/>
      <name val="Times New Roman"/>
      <family val="1"/>
    </font>
    <font>
      <b/>
      <i/>
      <u/>
      <sz val="10"/>
      <name val="Arial"/>
      <family val="2"/>
    </font>
    <font>
      <b/>
      <sz val="8"/>
      <color indexed="8"/>
      <name val="Helv"/>
    </font>
    <font>
      <b/>
      <sz val="10"/>
      <color indexed="10"/>
      <name val="Helv"/>
    </font>
    <font>
      <b/>
      <sz val="8"/>
      <name val="Times New Roman"/>
      <family val="1"/>
    </font>
    <font>
      <b/>
      <sz val="10"/>
      <color indexed="18"/>
      <name val="Helv"/>
    </font>
    <font>
      <sz val="10"/>
      <name val="Comic Sans MS"/>
      <family val="4"/>
    </font>
    <font>
      <b/>
      <sz val="18"/>
      <color indexed="56"/>
      <name val="Cambria"/>
      <family val="2"/>
    </font>
    <font>
      <sz val="8"/>
      <color indexed="12"/>
      <name val="Arial"/>
      <family val="2"/>
    </font>
    <font>
      <b/>
      <sz val="16"/>
      <color indexed="9"/>
      <name val="Arial"/>
      <family val="2"/>
    </font>
    <font>
      <sz val="11"/>
      <name val="ＭＳ Ｐゴシック"/>
      <family val="3"/>
      <charset val="128"/>
    </font>
    <font>
      <sz val="9"/>
      <color theme="0"/>
      <name val="Calibri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5"/>
      <name val="Calibri"/>
      <family val="2"/>
    </font>
    <font>
      <b/>
      <sz val="14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25"/>
      <name val="Calibri"/>
      <family val="2"/>
    </font>
    <font>
      <b/>
      <sz val="18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8"/>
      </patternFill>
    </fill>
    <fill>
      <patternFill patternType="solid">
        <fgColor indexed="55"/>
      </patternFill>
    </fill>
    <fill>
      <patternFill patternType="solid">
        <fgColor indexed="9"/>
        <bgColor indexed="8"/>
      </patternFill>
    </fill>
    <fill>
      <patternFill patternType="gray0625">
        <fgColor indexed="15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</patternFill>
    </fill>
    <fill>
      <patternFill patternType="solid">
        <fgColor indexed="13"/>
        <bgColor indexed="15"/>
      </patternFill>
    </fill>
    <fill>
      <patternFill patternType="solid">
        <fgColor indexed="12"/>
      </patternFill>
    </fill>
    <fill>
      <patternFill patternType="solid">
        <fgColor indexed="14"/>
        <bgColor indexed="64"/>
      </patternFill>
    </fill>
    <fill>
      <patternFill patternType="gray125">
        <fgColor indexed="22"/>
        <bgColor indexed="9"/>
      </patternFill>
    </fill>
    <fill>
      <patternFill patternType="gray125">
        <fgColor indexed="13"/>
        <bgColor indexed="9"/>
      </patternFill>
    </fill>
    <fill>
      <patternFill patternType="mediumGray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89">
    <xf numFmtId="0" fontId="0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7" fillId="0" borderId="11" applyNumberFormat="0" applyBorder="0" applyAlignment="0" applyProtection="0">
      <alignment horizontal="right"/>
    </xf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 applyNumberFormat="0" applyFill="0" applyBorder="0" applyAlignment="0" applyProtection="0">
      <alignment vertical="top"/>
    </xf>
    <xf numFmtId="0" fontId="3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</xf>
    <xf numFmtId="0" fontId="36" fillId="0" borderId="11" applyBorder="0">
      <alignment horizontal="left"/>
    </xf>
    <xf numFmtId="0" fontId="37" fillId="0" borderId="0"/>
    <xf numFmtId="0" fontId="38" fillId="0" borderId="0"/>
    <xf numFmtId="0" fontId="4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8" fillId="0" borderId="0"/>
    <xf numFmtId="0" fontId="4" fillId="0" borderId="0"/>
    <xf numFmtId="0" fontId="4" fillId="0" borderId="0"/>
    <xf numFmtId="0" fontId="41" fillId="0" borderId="0"/>
    <xf numFmtId="0" fontId="4" fillId="0" borderId="0" applyFill="0" applyBorder="0"/>
    <xf numFmtId="0" fontId="37" fillId="0" borderId="0"/>
    <xf numFmtId="0" fontId="4" fillId="0" borderId="0"/>
    <xf numFmtId="0" fontId="4" fillId="0" borderId="0"/>
    <xf numFmtId="0" fontId="38" fillId="0" borderId="0"/>
    <xf numFmtId="0" fontId="37" fillId="0" borderId="0"/>
    <xf numFmtId="0" fontId="42" fillId="0" borderId="0"/>
    <xf numFmtId="0" fontId="43" fillId="0" borderId="0"/>
    <xf numFmtId="0" fontId="39" fillId="0" borderId="0" applyNumberFormat="0" applyFill="0" applyBorder="0" applyAlignment="0" applyProtection="0"/>
    <xf numFmtId="0" fontId="38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8" fillId="0" borderId="0"/>
    <xf numFmtId="0" fontId="4" fillId="0" borderId="0"/>
    <xf numFmtId="0" fontId="42" fillId="0" borderId="0"/>
    <xf numFmtId="0" fontId="4" fillId="0" borderId="0"/>
    <xf numFmtId="0" fontId="37" fillId="0" borderId="0"/>
    <xf numFmtId="0" fontId="4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4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4" fillId="0" borderId="0" applyFill="0" applyBorder="0"/>
    <xf numFmtId="0" fontId="37" fillId="0" borderId="0"/>
    <xf numFmtId="0" fontId="40" fillId="0" borderId="0"/>
    <xf numFmtId="0" fontId="37" fillId="0" borderId="0"/>
    <xf numFmtId="0" fontId="38" fillId="0" borderId="0"/>
    <xf numFmtId="0" fontId="4" fillId="0" borderId="0"/>
    <xf numFmtId="0" fontId="4" fillId="0" borderId="0" applyFill="0" applyBorder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" fillId="0" borderId="0"/>
    <xf numFmtId="0" fontId="42" fillId="0" borderId="0"/>
    <xf numFmtId="0" fontId="4" fillId="0" borderId="0"/>
    <xf numFmtId="0" fontId="37" fillId="0" borderId="0"/>
    <xf numFmtId="0" fontId="41" fillId="0" borderId="0"/>
    <xf numFmtId="0" fontId="4" fillId="0" borderId="0"/>
    <xf numFmtId="0" fontId="4" fillId="0" borderId="0" applyFill="0" applyBorder="0"/>
    <xf numFmtId="0" fontId="37" fillId="0" borderId="0"/>
    <xf numFmtId="9" fontId="4" fillId="9" borderId="0"/>
    <xf numFmtId="0" fontId="4" fillId="0" borderId="0"/>
    <xf numFmtId="0" fontId="4" fillId="0" borderId="0"/>
    <xf numFmtId="0" fontId="4" fillId="0" borderId="0"/>
    <xf numFmtId="0" fontId="40" fillId="0" borderId="0"/>
    <xf numFmtId="174" fontId="45" fillId="0" borderId="0">
      <alignment horizontal="left"/>
    </xf>
    <xf numFmtId="175" fontId="46" fillId="0" borderId="0">
      <alignment horizontal="left"/>
    </xf>
    <xf numFmtId="0" fontId="47" fillId="0" borderId="0">
      <alignment horizontal="left" vertical="center"/>
      <protection locked="0"/>
    </xf>
    <xf numFmtId="2" fontId="48" fillId="0" borderId="0">
      <alignment horizontal="left"/>
    </xf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23" fillId="8" borderId="0" applyNumberFormat="0" applyBorder="0" applyAlignment="0" applyProtection="0"/>
    <xf numFmtId="0" fontId="42" fillId="0" borderId="0"/>
    <xf numFmtId="0" fontId="49" fillId="23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30" borderId="0" applyNumberFormat="0" applyBorder="0" applyAlignment="0" applyProtection="0"/>
    <xf numFmtId="0" fontId="4" fillId="2" borderId="40">
      <alignment horizontal="center" vertical="center"/>
    </xf>
    <xf numFmtId="0" fontId="50" fillId="0" borderId="0">
      <alignment horizontal="center" wrapText="1"/>
      <protection locked="0"/>
    </xf>
    <xf numFmtId="0" fontId="51" fillId="0" borderId="41" applyNumberFormat="0" applyFill="0" applyAlignment="0" applyProtection="0"/>
    <xf numFmtId="0" fontId="4" fillId="31" borderId="0"/>
    <xf numFmtId="0" fontId="52" fillId="14" borderId="0" applyNumberFormat="0" applyBorder="0" applyAlignment="0" applyProtection="0"/>
    <xf numFmtId="0" fontId="46" fillId="0" borderId="0" applyFont="0" applyFill="0" applyBorder="0" applyAlignment="0" applyProtection="0">
      <alignment horizontal="right"/>
    </xf>
    <xf numFmtId="2" fontId="53" fillId="0" borderId="0"/>
    <xf numFmtId="0" fontId="54" fillId="0" borderId="0" applyFill="0" applyBorder="0">
      <alignment horizontal="left" wrapText="1"/>
    </xf>
    <xf numFmtId="1" fontId="55" fillId="0" borderId="0">
      <protection locked="0"/>
    </xf>
    <xf numFmtId="1" fontId="55" fillId="0" borderId="0">
      <protection locked="0"/>
    </xf>
    <xf numFmtId="9" fontId="56" fillId="0" borderId="11" applyNumberFormat="0" applyBorder="0">
      <alignment horizontal="right"/>
    </xf>
    <xf numFmtId="0" fontId="4" fillId="0" borderId="0" applyFill="0" applyBorder="0" applyAlignment="0"/>
    <xf numFmtId="176" fontId="42" fillId="0" borderId="0" applyFill="0" applyBorder="0" applyAlignment="0"/>
    <xf numFmtId="177" fontId="42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78" fontId="42" fillId="0" borderId="0" applyFill="0" applyBorder="0" applyAlignment="0"/>
    <xf numFmtId="179" fontId="42" fillId="0" borderId="0" applyFill="0" applyBorder="0" applyAlignment="0"/>
    <xf numFmtId="176" fontId="42" fillId="0" borderId="0" applyFill="0" applyBorder="0" applyAlignment="0"/>
    <xf numFmtId="0" fontId="57" fillId="0" borderId="0" applyNumberFormat="0" applyFill="0" applyBorder="0" applyAlignment="0" applyProtection="0"/>
    <xf numFmtId="0" fontId="58" fillId="0" borderId="0"/>
    <xf numFmtId="0" fontId="59" fillId="0" borderId="0"/>
    <xf numFmtId="0" fontId="60" fillId="0" borderId="0" applyNumberFormat="0" applyAlignment="0">
      <alignment vertical="center"/>
    </xf>
    <xf numFmtId="0" fontId="61" fillId="32" borderId="42" applyNumberFormat="0" applyAlignment="0" applyProtection="0"/>
    <xf numFmtId="180" fontId="60" fillId="0" borderId="0" applyNumberFormat="0" applyAlignment="0">
      <alignment vertical="center"/>
    </xf>
    <xf numFmtId="0" fontId="62" fillId="33" borderId="29" applyNumberFormat="0">
      <alignment horizontal="left" vertical="center"/>
      <protection locked="0" hidden="1"/>
    </xf>
    <xf numFmtId="0" fontId="63" fillId="3" borderId="16">
      <alignment wrapText="1"/>
    </xf>
    <xf numFmtId="0" fontId="19" fillId="3" borderId="16" applyProtection="0">
      <alignment horizontal="center" vertical="center" wrapText="1"/>
    </xf>
    <xf numFmtId="0" fontId="64" fillId="34" borderId="0" applyNumberFormat="0" applyBorder="0" applyProtection="0">
      <alignment horizontal="centerContinuous" vertical="center"/>
    </xf>
    <xf numFmtId="0" fontId="64" fillId="34" borderId="27" applyNumberFormat="0" applyProtection="0">
      <alignment horizontal="center" vertical="center" wrapText="1"/>
    </xf>
    <xf numFmtId="0" fontId="47" fillId="35" borderId="0" applyNumberFormat="0">
      <alignment horizontal="center" vertical="top" wrapText="1"/>
    </xf>
    <xf numFmtId="0" fontId="47" fillId="35" borderId="0" applyNumberFormat="0">
      <alignment horizontal="left" vertical="top" wrapText="1"/>
    </xf>
    <xf numFmtId="0" fontId="47" fillId="35" borderId="0" applyNumberFormat="0">
      <alignment horizontal="centerContinuous" vertical="top"/>
    </xf>
    <xf numFmtId="0" fontId="26" fillId="35" borderId="0" applyNumberFormat="0">
      <alignment horizontal="center" vertical="top" wrapText="1"/>
    </xf>
    <xf numFmtId="0" fontId="47" fillId="36" borderId="0" applyNumberFormat="0">
      <alignment horizontal="center" vertical="top" wrapText="1"/>
    </xf>
    <xf numFmtId="0" fontId="57" fillId="0" borderId="43" applyNumberFormat="0" applyFont="0" applyFill="0" applyAlignment="0" applyProtection="0">
      <alignment horizontal="left"/>
    </xf>
    <xf numFmtId="0" fontId="47" fillId="3" borderId="44">
      <alignment horizontal="center" vertical="top" wrapText="1"/>
    </xf>
    <xf numFmtId="41" fontId="4" fillId="0" borderId="0" applyFont="0" applyFill="0" applyBorder="0" applyAlignment="0" applyProtection="0"/>
    <xf numFmtId="178" fontId="42" fillId="0" borderId="0" applyFont="0" applyFill="0" applyBorder="0" applyAlignment="0" applyProtection="0"/>
    <xf numFmtId="181" fontId="4" fillId="0" borderId="0" applyFont="0" applyFill="0" applyBorder="0" applyAlignment="0" applyProtection="0"/>
    <xf numFmtId="3" fontId="66" fillId="0" borderId="0" applyFont="0" applyFill="0" applyBorder="0" applyAlignment="0" applyProtection="0"/>
    <xf numFmtId="0" fontId="67" fillId="0" borderId="0"/>
    <xf numFmtId="0" fontId="42" fillId="0" borderId="0"/>
    <xf numFmtId="0" fontId="67" fillId="0" borderId="0"/>
    <xf numFmtId="0" fontId="42" fillId="0" borderId="0"/>
    <xf numFmtId="0" fontId="68" fillId="0" borderId="0">
      <alignment horizontal="left" vertical="center"/>
    </xf>
    <xf numFmtId="0" fontId="69" fillId="0" borderId="0" applyNumberFormat="0" applyAlignment="0">
      <alignment horizontal="left"/>
    </xf>
    <xf numFmtId="0" fontId="25" fillId="37" borderId="0">
      <alignment horizontal="left" vertical="top"/>
    </xf>
    <xf numFmtId="0" fontId="70" fillId="0" borderId="0" applyNumberFormat="0" applyAlignment="0"/>
    <xf numFmtId="182" fontId="54" fillId="0" borderId="0" applyFill="0" applyBorder="0"/>
    <xf numFmtId="183" fontId="26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/>
    <xf numFmtId="176" fontId="42" fillId="0" borderId="0" applyFont="0" applyFill="0" applyBorder="0" applyAlignment="0" applyProtection="0"/>
    <xf numFmtId="185" fontId="26" fillId="0" borderId="0" applyFont="0" applyFill="0" applyBorder="0" applyAlignment="0" applyProtection="0">
      <alignment vertical="center"/>
    </xf>
    <xf numFmtId="186" fontId="26" fillId="0" borderId="0" applyFont="0" applyFill="0" applyBorder="0" applyAlignment="0" applyProtection="0">
      <alignment vertical="center"/>
    </xf>
    <xf numFmtId="187" fontId="26" fillId="0" borderId="0" applyFont="0" applyFill="0" applyBorder="0" applyAlignment="0" applyProtection="0">
      <alignment vertical="center"/>
    </xf>
    <xf numFmtId="188" fontId="26" fillId="0" borderId="0" applyFont="0" applyFill="0" applyBorder="0" applyAlignment="0" applyProtection="0">
      <alignment vertical="center"/>
    </xf>
    <xf numFmtId="189" fontId="26" fillId="0" borderId="0" applyFont="0" applyFill="0" applyBorder="0" applyAlignment="0" applyProtection="0">
      <alignment vertical="center"/>
    </xf>
    <xf numFmtId="190" fontId="26" fillId="0" borderId="0" applyFont="0" applyFill="0" applyBorder="0" applyAlignment="0" applyProtection="0">
      <alignment vertical="center"/>
    </xf>
    <xf numFmtId="191" fontId="26" fillId="0" borderId="0" applyFont="0" applyFill="0" applyBorder="0" applyAlignment="0" applyProtection="0">
      <alignment vertical="center"/>
    </xf>
    <xf numFmtId="192" fontId="26" fillId="0" borderId="0" applyFont="0" applyFill="0" applyBorder="0" applyAlignment="0" applyProtection="0">
      <alignment vertical="center"/>
    </xf>
    <xf numFmtId="193" fontId="26" fillId="0" borderId="0" applyFont="0" applyFill="0" applyBorder="0" applyAlignment="0" applyProtection="0">
      <alignment vertical="center"/>
    </xf>
    <xf numFmtId="194" fontId="26" fillId="0" borderId="0" applyFont="0" applyFill="0" applyBorder="0" applyAlignment="0" applyProtection="0">
      <alignment vertical="center"/>
    </xf>
    <xf numFmtId="195" fontId="26" fillId="0" borderId="0" applyFont="0" applyFill="0" applyBorder="0" applyAlignment="0" applyProtection="0">
      <alignment vertical="center"/>
    </xf>
    <xf numFmtId="196" fontId="26" fillId="0" borderId="0" applyFont="0" applyFill="0" applyBorder="0" applyAlignment="0" applyProtection="0">
      <alignment vertical="center"/>
    </xf>
    <xf numFmtId="197" fontId="4" fillId="0" borderId="0" applyFont="0" applyFill="0" applyBorder="0" applyAlignment="0" applyProtection="0"/>
    <xf numFmtId="198" fontId="66" fillId="0" borderId="0" applyFont="0" applyFill="0" applyBorder="0" applyAlignment="0" applyProtection="0"/>
    <xf numFmtId="199" fontId="57" fillId="0" borderId="0" applyFont="0" applyFill="0" applyBorder="0" applyAlignment="0" applyProtection="0"/>
    <xf numFmtId="200" fontId="26" fillId="0" borderId="0" applyFont="0" applyFill="0" applyBorder="0" applyAlignment="0" applyProtection="0">
      <alignment vertical="center"/>
    </xf>
    <xf numFmtId="201" fontId="26" fillId="0" borderId="0" applyFont="0" applyFill="0" applyBorder="0" applyAlignment="0" applyProtection="0">
      <alignment vertical="center"/>
    </xf>
    <xf numFmtId="14" fontId="30" fillId="0" borderId="0" applyFill="0" applyBorder="0" applyAlignment="0"/>
    <xf numFmtId="202" fontId="26" fillId="0" borderId="0" applyFont="0" applyFill="0" applyBorder="0" applyAlignment="0" applyProtection="0">
      <alignment vertical="center"/>
    </xf>
    <xf numFmtId="0" fontId="71" fillId="33" borderId="15" applyNumberFormat="0">
      <alignment horizontal="left" vertical="center"/>
      <protection locked="0" hidden="1"/>
    </xf>
    <xf numFmtId="0" fontId="72" fillId="0" borderId="0">
      <protection locked="0"/>
    </xf>
    <xf numFmtId="0" fontId="73" fillId="0" borderId="0"/>
    <xf numFmtId="0" fontId="74" fillId="0" borderId="0"/>
    <xf numFmtId="0" fontId="74" fillId="0" borderId="0"/>
    <xf numFmtId="0" fontId="55" fillId="0" borderId="0">
      <protection locked="0"/>
    </xf>
    <xf numFmtId="0" fontId="55" fillId="0" borderId="0">
      <protection locked="0"/>
    </xf>
    <xf numFmtId="0" fontId="24" fillId="7" borderId="0" applyNumberFormat="0" applyBorder="0" applyAlignment="0" applyProtection="0"/>
    <xf numFmtId="178" fontId="42" fillId="0" borderId="0" applyFill="0" applyBorder="0" applyAlignment="0"/>
    <xf numFmtId="176" fontId="42" fillId="0" borderId="0" applyFill="0" applyBorder="0" applyAlignment="0"/>
    <xf numFmtId="178" fontId="42" fillId="0" borderId="0" applyFill="0" applyBorder="0" applyAlignment="0"/>
    <xf numFmtId="179" fontId="42" fillId="0" borderId="0" applyFill="0" applyBorder="0" applyAlignment="0"/>
    <xf numFmtId="176" fontId="42" fillId="0" borderId="0" applyFill="0" applyBorder="0" applyAlignment="0"/>
    <xf numFmtId="0" fontId="75" fillId="0" borderId="0" applyNumberFormat="0" applyAlignment="0">
      <alignment horizontal="left"/>
    </xf>
    <xf numFmtId="3" fontId="76" fillId="0" borderId="0" applyNumberFormat="0" applyFill="0" applyBorder="0" applyProtection="0">
      <protection locked="0"/>
    </xf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1" fillId="0" borderId="0"/>
    <xf numFmtId="203" fontId="77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2" fillId="0" borderId="0">
      <protection locked="0"/>
    </xf>
    <xf numFmtId="0" fontId="72" fillId="0" borderId="0">
      <protection locked="0"/>
    </xf>
    <xf numFmtId="0" fontId="72" fillId="0" borderId="0">
      <protection locked="0"/>
    </xf>
    <xf numFmtId="0" fontId="72" fillId="0" borderId="0">
      <protection locked="0"/>
    </xf>
    <xf numFmtId="0" fontId="72" fillId="0" borderId="0">
      <protection locked="0"/>
    </xf>
    <xf numFmtId="0" fontId="72" fillId="0" borderId="0">
      <protection locked="0"/>
    </xf>
    <xf numFmtId="0" fontId="72" fillId="0" borderId="0">
      <protection locked="0"/>
    </xf>
    <xf numFmtId="0" fontId="4" fillId="0" borderId="0" applyFill="0" applyBorder="0">
      <alignment wrapText="1"/>
    </xf>
    <xf numFmtId="0" fontId="54" fillId="0" borderId="0" applyFill="0" applyBorder="0"/>
    <xf numFmtId="182" fontId="4" fillId="0" borderId="9" applyFill="0" applyBorder="0">
      <protection locked="0"/>
    </xf>
    <xf numFmtId="1" fontId="72" fillId="0" borderId="0">
      <protection locked="0"/>
    </xf>
    <xf numFmtId="0" fontId="42" fillId="0" borderId="0"/>
    <xf numFmtId="0" fontId="72" fillId="0" borderId="0">
      <protection locked="0"/>
    </xf>
    <xf numFmtId="3" fontId="30" fillId="4" borderId="44"/>
    <xf numFmtId="0" fontId="72" fillId="0" borderId="0">
      <protection locked="0"/>
    </xf>
    <xf numFmtId="2" fontId="66" fillId="0" borderId="0" applyFont="0" applyFill="0" applyBorder="0" applyAlignment="0" applyProtection="0"/>
    <xf numFmtId="0" fontId="79" fillId="15" borderId="0" applyNumberFormat="0" applyBorder="0" applyAlignment="0" applyProtection="0"/>
    <xf numFmtId="38" fontId="54" fillId="3" borderId="0" applyNumberFormat="0" applyBorder="0" applyAlignment="0" applyProtection="0"/>
    <xf numFmtId="0" fontId="80" fillId="0" borderId="0" applyNumberFormat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horizontal="left" vertical="center"/>
    </xf>
    <xf numFmtId="0" fontId="47" fillId="0" borderId="0" applyNumberFormat="0" applyFill="0" applyBorder="0" applyAlignment="0" applyProtection="0">
      <alignment vertical="center"/>
    </xf>
    <xf numFmtId="204" fontId="84" fillId="0" borderId="0" applyNumberFormat="0" applyFill="0" applyBorder="0" applyProtection="0">
      <alignment horizontal="right"/>
    </xf>
    <xf numFmtId="0" fontId="83" fillId="0" borderId="23" applyNumberFormat="0" applyAlignment="0" applyProtection="0">
      <alignment horizontal="left" vertical="center"/>
    </xf>
    <xf numFmtId="0" fontId="83" fillId="0" borderId="36">
      <alignment horizontal="left" vertical="center"/>
    </xf>
    <xf numFmtId="0" fontId="85" fillId="0" borderId="0" applyNumberFormat="0">
      <alignment horizontal="left"/>
    </xf>
    <xf numFmtId="0" fontId="86" fillId="0" borderId="45" applyNumberFormat="0" applyFill="0" applyAlignment="0" applyProtection="0"/>
    <xf numFmtId="0" fontId="87" fillId="0" borderId="46" applyNumberFormat="0" applyFill="0" applyAlignment="0" applyProtection="0"/>
    <xf numFmtId="0" fontId="88" fillId="0" borderId="47" applyNumberFormat="0" applyFill="0" applyAlignment="0" applyProtection="0"/>
    <xf numFmtId="0" fontId="88" fillId="0" borderId="0" applyNumberFormat="0" applyFill="0" applyBorder="0" applyAlignment="0" applyProtection="0"/>
    <xf numFmtId="0" fontId="81" fillId="0" borderId="0" applyProtection="0"/>
    <xf numFmtId="0" fontId="83" fillId="0" borderId="0" applyProtection="0"/>
    <xf numFmtId="0" fontId="51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49" fontId="54" fillId="0" borderId="0" applyFill="0" applyBorder="0"/>
    <xf numFmtId="0" fontId="91" fillId="0" borderId="0" applyFill="0" applyBorder="0" applyAlignment="0" applyProtection="0">
      <alignment horizontal="right"/>
    </xf>
    <xf numFmtId="0" fontId="92" fillId="0" borderId="41" applyNumberFormat="0" applyFill="0" applyAlignment="0" applyProtection="0"/>
    <xf numFmtId="10" fontId="54" fillId="5" borderId="16" applyNumberFormat="0" applyBorder="0" applyAlignment="0" applyProtection="0"/>
    <xf numFmtId="0" fontId="26" fillId="0" borderId="48" applyNumberFormat="0" applyAlignment="0">
      <alignment vertical="center"/>
    </xf>
    <xf numFmtId="176" fontId="93" fillId="38" borderId="0"/>
    <xf numFmtId="0" fontId="26" fillId="0" borderId="49" applyNumberFormat="0" applyAlignment="0">
      <alignment vertical="center"/>
      <protection locked="0"/>
    </xf>
    <xf numFmtId="205" fontId="26" fillId="39" borderId="49" applyNumberFormat="0" applyAlignment="0">
      <alignment vertical="center"/>
      <protection locked="0"/>
    </xf>
    <xf numFmtId="0" fontId="92" fillId="0" borderId="0" applyNumberFormat="0" applyFill="0" applyBorder="0" applyAlignment="0" applyProtection="0"/>
    <xf numFmtId="0" fontId="26" fillId="6" borderId="0" applyNumberFormat="0" applyAlignment="0">
      <alignment vertical="center"/>
    </xf>
    <xf numFmtId="0" fontId="26" fillId="9" borderId="0" applyNumberFormat="0" applyAlignment="0">
      <alignment vertical="center"/>
    </xf>
    <xf numFmtId="0" fontId="26" fillId="0" borderId="50" applyNumberFormat="0" applyAlignment="0">
      <alignment vertical="center"/>
      <protection locked="0"/>
    </xf>
    <xf numFmtId="0" fontId="94" fillId="18" borderId="51" applyNumberFormat="0" applyAlignment="0" applyProtection="0"/>
    <xf numFmtId="0" fontId="31" fillId="0" borderId="0" applyNumberFormat="0" applyFill="0" applyBorder="0" applyAlignment="0">
      <protection locked="0"/>
    </xf>
    <xf numFmtId="0" fontId="37" fillId="0" borderId="0"/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8" fontId="42" fillId="0" borderId="0" applyFill="0" applyBorder="0" applyAlignment="0"/>
    <xf numFmtId="176" fontId="42" fillId="0" borderId="0" applyFill="0" applyBorder="0" applyAlignment="0"/>
    <xf numFmtId="178" fontId="42" fillId="0" borderId="0" applyFill="0" applyBorder="0" applyAlignment="0"/>
    <xf numFmtId="179" fontId="42" fillId="0" borderId="0" applyFill="0" applyBorder="0" applyAlignment="0"/>
    <xf numFmtId="176" fontId="42" fillId="0" borderId="0" applyFill="0" applyBorder="0" applyAlignment="0"/>
    <xf numFmtId="0" fontId="26" fillId="12" borderId="0" applyNumberFormat="0" applyFont="0" applyBorder="0" applyAlignment="0" applyProtection="0">
      <alignment horizontal="left"/>
    </xf>
    <xf numFmtId="0" fontId="95" fillId="0" borderId="52" applyNumberFormat="0" applyFill="0" applyAlignment="0" applyProtection="0"/>
    <xf numFmtId="176" fontId="96" fillId="40" borderId="0"/>
    <xf numFmtId="10" fontId="97" fillId="10" borderId="44"/>
    <xf numFmtId="0" fontId="98" fillId="0" borderId="0" applyNumberFormat="0" applyFill="0" applyBorder="0" applyProtection="0">
      <alignment horizontal="left" vertical="center"/>
    </xf>
    <xf numFmtId="208" fontId="99" fillId="0" borderId="9" applyNumberFormat="0" applyFill="0" applyBorder="0" applyAlignment="0" applyProtection="0">
      <alignment horizontal="center"/>
    </xf>
    <xf numFmtId="38" fontId="100" fillId="0" borderId="0" applyFont="0" applyFill="0" applyBorder="0" applyAlignment="0" applyProtection="0"/>
    <xf numFmtId="40" fontId="100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0" fontId="7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11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12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0" fontId="27" fillId="41" borderId="0">
      <alignment horizontal="right"/>
    </xf>
    <xf numFmtId="0" fontId="101" fillId="0" borderId="27"/>
    <xf numFmtId="214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6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0" fontId="72" fillId="0" borderId="0">
      <protection locked="0"/>
    </xf>
    <xf numFmtId="218" fontId="72" fillId="0" borderId="0">
      <protection locked="0"/>
    </xf>
    <xf numFmtId="17" fontId="30" fillId="10" borderId="16"/>
    <xf numFmtId="0" fontId="102" fillId="0" borderId="0" applyNumberFormat="0" applyFill="0" applyBorder="0" applyProtection="0">
      <alignment horizontal="left"/>
    </xf>
    <xf numFmtId="0" fontId="4" fillId="0" borderId="0" applyNumberFormat="0" applyFill="0" applyBorder="0" applyAlignment="0" applyProtection="0"/>
    <xf numFmtId="37" fontId="103" fillId="0" borderId="0"/>
    <xf numFmtId="0" fontId="70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73" fillId="0" borderId="0"/>
    <xf numFmtId="0" fontId="74" fillId="0" borderId="0"/>
    <xf numFmtId="0" fontId="104" fillId="0" borderId="0"/>
    <xf numFmtId="0" fontId="23" fillId="0" borderId="0"/>
    <xf numFmtId="0" fontId="23" fillId="0" borderId="0"/>
    <xf numFmtId="0" fontId="42" fillId="0" borderId="0"/>
    <xf numFmtId="0" fontId="26" fillId="42" borderId="0" applyBorder="0" applyAlignment="0">
      <alignment horizontal="left"/>
    </xf>
    <xf numFmtId="219" fontId="105" fillId="0" borderId="0" applyNumberFormat="0" applyFill="0" applyBorder="0" applyAlignment="0" applyProtection="0"/>
    <xf numFmtId="0" fontId="57" fillId="0" borderId="0"/>
    <xf numFmtId="0" fontId="57" fillId="0" borderId="0"/>
    <xf numFmtId="38" fontId="57" fillId="0" borderId="10" applyFont="0" applyFill="0" applyBorder="0" applyAlignment="0" applyProtection="0"/>
    <xf numFmtId="180" fontId="26" fillId="0" borderId="0" applyFont="0" applyFill="0" applyBorder="0" applyAlignment="0" applyProtection="0">
      <alignment vertical="center"/>
    </xf>
    <xf numFmtId="205" fontId="26" fillId="0" borderId="0" applyFont="0" applyFill="0" applyBorder="0" applyAlignment="0" applyProtection="0">
      <alignment vertical="center"/>
    </xf>
    <xf numFmtId="0" fontId="106" fillId="0" borderId="0" applyNumberFormat="0" applyAlignment="0">
      <alignment vertical="top"/>
    </xf>
    <xf numFmtId="40" fontId="107" fillId="0" borderId="0" applyFont="0" applyFill="0" applyBorder="0" applyAlignment="0" applyProtection="0"/>
    <xf numFmtId="38" fontId="107" fillId="0" borderId="0" applyFont="0" applyFill="0" applyBorder="0" applyAlignment="0" applyProtection="0"/>
    <xf numFmtId="169" fontId="37" fillId="0" borderId="16" applyFill="0" applyBorder="0" applyAlignment="0" applyProtection="0"/>
    <xf numFmtId="0" fontId="57" fillId="43" borderId="37" applyNumberFormat="0" applyFont="0" applyBorder="0" applyAlignment="0" applyProtection="0"/>
    <xf numFmtId="40" fontId="30" fillId="4" borderId="0">
      <alignment horizontal="right"/>
    </xf>
    <xf numFmtId="14" fontId="50" fillId="0" borderId="0">
      <alignment horizontal="center" wrapText="1"/>
      <protection locked="0"/>
    </xf>
    <xf numFmtId="17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5" fontId="57" fillId="0" borderId="0" applyFont="0" applyFill="0" applyBorder="0" applyAlignment="0" applyProtection="0"/>
    <xf numFmtId="10" fontId="4" fillId="0" borderId="0" applyFont="0" applyFill="0" applyBorder="0" applyAlignment="0" applyProtection="0"/>
    <xf numFmtId="171" fontId="30" fillId="0" borderId="44" applyAlignment="0" applyProtection="0"/>
    <xf numFmtId="219" fontId="57" fillId="0" borderId="0" applyFont="0" applyFill="0" applyBorder="0" applyAlignment="0" applyProtection="0"/>
    <xf numFmtId="220" fontId="26" fillId="0" borderId="0" applyFont="0" applyFill="0" applyBorder="0" applyAlignment="0" applyProtection="0">
      <alignment vertical="center"/>
    </xf>
    <xf numFmtId="221" fontId="26" fillId="0" borderId="0" applyFont="0" applyFill="0" applyBorder="0" applyAlignment="0" applyProtection="0">
      <alignment horizontal="right" vertical="center"/>
    </xf>
    <xf numFmtId="9" fontId="108" fillId="0" borderId="0" applyNumberFormat="0" applyFill="0" applyBorder="0" applyProtection="0">
      <alignment horizontal="right"/>
    </xf>
    <xf numFmtId="0" fontId="72" fillId="0" borderId="0">
      <protection locked="0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42" fillId="0" borderId="0" applyFill="0" applyBorder="0" applyAlignment="0"/>
    <xf numFmtId="176" fontId="42" fillId="0" borderId="0" applyFill="0" applyBorder="0" applyAlignment="0"/>
    <xf numFmtId="178" fontId="42" fillId="0" borderId="0" applyFill="0" applyBorder="0" applyAlignment="0"/>
    <xf numFmtId="179" fontId="42" fillId="0" borderId="0" applyFill="0" applyBorder="0" applyAlignment="0"/>
    <xf numFmtId="176" fontId="42" fillId="0" borderId="0" applyFill="0" applyBorder="0" applyAlignment="0"/>
    <xf numFmtId="222" fontId="26" fillId="4" borderId="16">
      <alignment vertical="center"/>
    </xf>
    <xf numFmtId="175" fontId="28" fillId="0" borderId="0" applyNumberFormat="0" applyFill="0" applyBorder="0" applyProtection="0">
      <alignment horizontal="left" indent="2"/>
    </xf>
    <xf numFmtId="0" fontId="100" fillId="0" borderId="0" applyNumberFormat="0" applyFont="0" applyFill="0" applyBorder="0" applyAlignment="0" applyProtection="0">
      <alignment horizontal="left"/>
    </xf>
    <xf numFmtId="15" fontId="100" fillId="0" borderId="0" applyFont="0" applyFill="0" applyBorder="0" applyAlignment="0" applyProtection="0"/>
    <xf numFmtId="4" fontId="100" fillId="0" borderId="0" applyFont="0" applyFill="0" applyBorder="0" applyAlignment="0" applyProtection="0"/>
    <xf numFmtId="0" fontId="109" fillId="0" borderId="27">
      <alignment horizontal="center"/>
    </xf>
    <xf numFmtId="3" fontId="100" fillId="0" borderId="0" applyFont="0" applyFill="0" applyBorder="0" applyAlignment="0" applyProtection="0"/>
    <xf numFmtId="0" fontId="100" fillId="44" borderId="0" applyNumberFormat="0" applyFont="0" applyBorder="0" applyAlignment="0" applyProtection="0"/>
    <xf numFmtId="223" fontId="72" fillId="0" borderId="0">
      <protection locked="0"/>
    </xf>
    <xf numFmtId="224" fontId="72" fillId="0" borderId="0">
      <protection locked="0"/>
    </xf>
    <xf numFmtId="0" fontId="42" fillId="0" borderId="0"/>
    <xf numFmtId="0" fontId="110" fillId="0" borderId="0">
      <alignment horizontal="left"/>
      <protection locked="0"/>
    </xf>
    <xf numFmtId="0" fontId="111" fillId="0" borderId="0"/>
    <xf numFmtId="0" fontId="112" fillId="0" borderId="0"/>
    <xf numFmtId="225" fontId="71" fillId="0" borderId="0" applyNumberFormat="0" applyFill="0" applyBorder="0" applyAlignment="0" applyProtection="0">
      <alignment horizontal="left"/>
    </xf>
    <xf numFmtId="38" fontId="71" fillId="0" borderId="0"/>
    <xf numFmtId="0" fontId="113" fillId="0" borderId="0" applyFill="0" applyBorder="0">
      <alignment horizontal="left"/>
    </xf>
    <xf numFmtId="226" fontId="113" fillId="0" borderId="9" applyFill="0" applyBorder="0">
      <protection locked="0"/>
    </xf>
    <xf numFmtId="0" fontId="57" fillId="0" borderId="53" applyNumberFormat="0" applyFont="0" applyFill="0" applyAlignment="0" applyProtection="0"/>
    <xf numFmtId="172" fontId="4" fillId="45" borderId="0" applyBorder="0" applyProtection="0">
      <alignment horizontal="left" wrapText="1"/>
    </xf>
    <xf numFmtId="0" fontId="64" fillId="34" borderId="0" applyNumberFormat="0" applyBorder="0" applyProtection="0">
      <alignment horizontal="left"/>
    </xf>
    <xf numFmtId="0" fontId="64" fillId="34" borderId="2" applyNumberFormat="0" applyBorder="0" applyProtection="0">
      <alignment horizontal="left" wrapText="1"/>
    </xf>
    <xf numFmtId="0" fontId="30" fillId="0" borderId="0"/>
    <xf numFmtId="0" fontId="26" fillId="0" borderId="0" applyNumberFormat="0" applyFill="0" applyBorder="0">
      <alignment horizontal="left" vertical="center" wrapText="1" indent="1"/>
    </xf>
    <xf numFmtId="0" fontId="47" fillId="0" borderId="0" applyNumberFormat="0" applyFill="0" applyBorder="0">
      <alignment horizontal="left" vertical="center" wrapText="1"/>
    </xf>
    <xf numFmtId="0" fontId="57" fillId="0" borderId="54" applyNumberFormat="0" applyFont="0" applyFill="0" applyAlignment="0" applyProtection="0"/>
    <xf numFmtId="0" fontId="114" fillId="37" borderId="0"/>
    <xf numFmtId="0" fontId="115" fillId="0" borderId="0" applyNumberFormat="0" applyFill="0" applyBorder="0" applyProtection="0">
      <alignment horizontal="left" vertical="center"/>
    </xf>
    <xf numFmtId="0" fontId="114" fillId="37" borderId="0" applyAlignment="0"/>
    <xf numFmtId="227" fontId="57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26" fillId="35" borderId="0">
      <alignment vertical="top" wrapText="1"/>
    </xf>
    <xf numFmtId="40" fontId="57" fillId="0" borderId="0" applyFont="0" applyFill="0" applyBorder="0" applyAlignment="0" applyProtection="0"/>
    <xf numFmtId="228" fontId="57" fillId="0" borderId="0" applyFont="0" applyFill="0" applyBorder="0" applyAlignment="0" applyProtection="0"/>
    <xf numFmtId="0" fontId="116" fillId="0" borderId="0"/>
    <xf numFmtId="0" fontId="54" fillId="9" borderId="44">
      <alignment vertical="top" wrapText="1"/>
    </xf>
    <xf numFmtId="0" fontId="4" fillId="0" borderId="0"/>
    <xf numFmtId="0" fontId="29" fillId="0" borderId="0">
      <alignment horizontal="right"/>
    </xf>
    <xf numFmtId="0" fontId="28" fillId="0" borderId="0"/>
    <xf numFmtId="0" fontId="101" fillId="0" borderId="0"/>
    <xf numFmtId="0" fontId="117" fillId="0" borderId="0"/>
    <xf numFmtId="0" fontId="118" fillId="0" borderId="0" applyNumberFormat="0" applyFill="0" applyBorder="0" applyAlignment="0" applyProtection="0">
      <alignment horizontal="left" vertical="center"/>
    </xf>
    <xf numFmtId="0" fontId="119" fillId="0" borderId="0">
      <alignment horizontal="left"/>
    </xf>
    <xf numFmtId="40" fontId="120" fillId="0" borderId="0" applyBorder="0">
      <alignment horizontal="right"/>
    </xf>
    <xf numFmtId="205" fontId="47" fillId="0" borderId="55" applyNumberFormat="0" applyFill="0" applyAlignment="0" applyProtection="0">
      <alignment vertical="center"/>
    </xf>
    <xf numFmtId="208" fontId="121" fillId="0" borderId="9" applyNumberFormat="0" applyFill="0" applyBorder="0" applyAlignment="0" applyProtection="0">
      <alignment horizontal="center"/>
    </xf>
    <xf numFmtId="205" fontId="26" fillId="0" borderId="56" applyNumberFormat="0" applyFont="0" applyFill="0" applyAlignment="0" applyProtection="0">
      <alignment vertical="center"/>
    </xf>
    <xf numFmtId="0" fontId="26" fillId="3" borderId="0" applyNumberFormat="0" applyFont="0" applyBorder="0" applyAlignment="0" applyProtection="0">
      <alignment vertical="center"/>
    </xf>
    <xf numFmtId="0" fontId="26" fillId="0" borderId="0" applyNumberFormat="0" applyFont="0" applyFill="0" applyAlignment="0" applyProtection="0">
      <alignment vertical="center"/>
    </xf>
    <xf numFmtId="205" fontId="26" fillId="0" borderId="0" applyNumberFormat="0" applyFont="0" applyBorder="0" applyAlignment="0" applyProtection="0">
      <alignment vertical="center"/>
    </xf>
    <xf numFmtId="0" fontId="122" fillId="0" borderId="0"/>
    <xf numFmtId="0" fontId="123" fillId="11" borderId="0" applyNumberFormat="0" applyBorder="0" applyAlignment="0" applyProtection="0">
      <protection locked="0"/>
    </xf>
    <xf numFmtId="229" fontId="4" fillId="0" borderId="44">
      <alignment horizontal="left"/>
    </xf>
    <xf numFmtId="49" fontId="30" fillId="0" borderId="0" applyFill="0" applyBorder="0" applyAlignment="0"/>
    <xf numFmtId="0" fontId="4" fillId="0" borderId="0" applyFill="0" applyBorder="0" applyAlignment="0"/>
    <xf numFmtId="0" fontId="124" fillId="0" borderId="0" applyFill="0" applyBorder="0" applyAlignment="0"/>
    <xf numFmtId="0" fontId="30" fillId="10" borderId="44"/>
    <xf numFmtId="0" fontId="19" fillId="3" borderId="16">
      <alignment wrapText="1"/>
    </xf>
    <xf numFmtId="0" fontId="64" fillId="34" borderId="27" applyNumberFormat="0" applyProtection="0">
      <alignment horizontal="left" vertical="center"/>
    </xf>
    <xf numFmtId="0" fontId="125" fillId="0" borderId="0" applyNumberFormat="0" applyFill="0" applyBorder="0" applyAlignment="0" applyProtection="0"/>
    <xf numFmtId="205" fontId="47" fillId="0" borderId="0" applyNumberFormat="0" applyFill="0" applyBorder="0" applyAlignment="0" applyProtection="0">
      <alignment vertical="center"/>
    </xf>
    <xf numFmtId="205" fontId="47" fillId="35" borderId="0" applyNumberFormat="0" applyAlignment="0" applyProtection="0">
      <alignment vertical="center"/>
    </xf>
    <xf numFmtId="0" fontId="26" fillId="0" borderId="0" applyNumberFormat="0" applyFont="0" applyBorder="0" applyAlignment="0" applyProtection="0">
      <alignment vertical="center"/>
    </xf>
    <xf numFmtId="37" fontId="54" fillId="10" borderId="0" applyNumberFormat="0" applyBorder="0" applyAlignment="0" applyProtection="0"/>
    <xf numFmtId="37" fontId="54" fillId="0" borderId="0"/>
    <xf numFmtId="3" fontId="126" fillId="0" borderId="57" applyProtection="0"/>
    <xf numFmtId="0" fontId="26" fillId="0" borderId="0" applyNumberFormat="0" applyFont="0" applyAlignment="0" applyProtection="0">
      <alignment vertical="center"/>
    </xf>
    <xf numFmtId="230" fontId="4" fillId="0" borderId="0" applyFont="0" applyFill="0" applyBorder="0" applyAlignment="0" applyProtection="0"/>
    <xf numFmtId="231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27" fillId="37" borderId="0" applyAlignment="0"/>
    <xf numFmtId="0" fontId="57" fillId="34" borderId="0" applyNumberFormat="0" applyBorder="0" applyProtection="0">
      <alignment horizontal="left"/>
    </xf>
    <xf numFmtId="0" fontId="65" fillId="3" borderId="16">
      <alignment horizontal="center"/>
    </xf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73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0" fontId="128" fillId="0" borderId="0"/>
    <xf numFmtId="184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23" fillId="0" borderId="0"/>
    <xf numFmtId="178" fontId="1" fillId="0" borderId="0" applyFont="0" applyFill="0" applyBorder="0" applyAlignment="0" applyProtection="0"/>
  </cellStyleXfs>
  <cellXfs count="211">
    <xf numFmtId="0" fontId="0" fillId="0" borderId="0" xfId="0"/>
    <xf numFmtId="0" fontId="0" fillId="0" borderId="2" xfId="0" applyBorder="1"/>
    <xf numFmtId="165" fontId="0" fillId="0" borderId="0" xfId="2" applyNumberFormat="1" applyFont="1"/>
    <xf numFmtId="165" fontId="0" fillId="0" borderId="0" xfId="0" applyNumberFormat="1"/>
    <xf numFmtId="9" fontId="0" fillId="0" borderId="0" xfId="5" applyFont="1"/>
    <xf numFmtId="0" fontId="6" fillId="0" borderId="0" xfId="0" applyFont="1"/>
    <xf numFmtId="0" fontId="9" fillId="0" borderId="5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0" fillId="0" borderId="0" xfId="0" applyFill="1"/>
    <xf numFmtId="0" fontId="0" fillId="2" borderId="19" xfId="0" applyFill="1" applyBorder="1"/>
    <xf numFmtId="0" fontId="4" fillId="2" borderId="4" xfId="0" applyFont="1" applyFill="1" applyBorder="1"/>
    <xf numFmtId="0" fontId="4" fillId="2" borderId="21" xfId="0" applyFont="1" applyFill="1" applyBorder="1"/>
    <xf numFmtId="0" fontId="0" fillId="0" borderId="0" xfId="0" applyAlignment="1"/>
    <xf numFmtId="0" fontId="5" fillId="3" borderId="22" xfId="0" applyFont="1" applyFill="1" applyBorder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8" fillId="2" borderId="30" xfId="0" applyFont="1" applyFill="1" applyBorder="1" applyAlignment="1">
      <alignment horizontal="left"/>
    </xf>
    <xf numFmtId="0" fontId="8" fillId="2" borderId="31" xfId="0" applyFont="1" applyFill="1" applyBorder="1" applyAlignment="1">
      <alignment horizontal="center"/>
    </xf>
    <xf numFmtId="0" fontId="11" fillId="3" borderId="22" xfId="0" applyFont="1" applyFill="1" applyBorder="1" applyAlignment="1">
      <alignment horizontal="left" vertical="top" wrapText="1"/>
    </xf>
    <xf numFmtId="0" fontId="8" fillId="0" borderId="17" xfId="0" applyFont="1" applyFill="1" applyBorder="1" applyAlignment="1"/>
    <xf numFmtId="0" fontId="11" fillId="0" borderId="32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165" fontId="8" fillId="2" borderId="28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18" xfId="0" applyFont="1" applyFill="1" applyBorder="1" applyAlignment="1">
      <alignment horizontal="center"/>
    </xf>
    <xf numFmtId="170" fontId="0" fillId="0" borderId="0" xfId="5" applyNumberFormat="1" applyFont="1"/>
    <xf numFmtId="0" fontId="7" fillId="0" borderId="12" xfId="0" applyFont="1" applyBorder="1" applyAlignment="1">
      <alignment horizontal="center"/>
    </xf>
    <xf numFmtId="43" fontId="14" fillId="0" borderId="10" xfId="2" applyNumberFormat="1" applyFont="1" applyBorder="1" applyAlignment="1">
      <alignment horizontal="right"/>
    </xf>
    <xf numFmtId="0" fontId="8" fillId="2" borderId="33" xfId="0" applyFont="1" applyFill="1" applyBorder="1" applyAlignment="1">
      <alignment horizontal="right"/>
    </xf>
    <xf numFmtId="0" fontId="5" fillId="2" borderId="35" xfId="0" applyFont="1" applyFill="1" applyBorder="1" applyAlignment="1">
      <alignment horizontal="center"/>
    </xf>
    <xf numFmtId="0" fontId="15" fillId="0" borderId="8" xfId="0" applyFont="1" applyBorder="1" applyAlignment="1">
      <alignment horizontal="right"/>
    </xf>
    <xf numFmtId="0" fontId="16" fillId="0" borderId="12" xfId="0" applyFont="1" applyBorder="1" applyAlignment="1">
      <alignment horizontal="center"/>
    </xf>
    <xf numFmtId="0" fontId="17" fillId="0" borderId="0" xfId="0" applyFont="1"/>
    <xf numFmtId="0" fontId="15" fillId="0" borderId="13" xfId="0" applyFont="1" applyBorder="1" applyAlignment="1">
      <alignment horizontal="right"/>
    </xf>
    <xf numFmtId="0" fontId="16" fillId="0" borderId="25" xfId="0" applyFont="1" applyBorder="1" applyAlignment="1">
      <alignment horizontal="center"/>
    </xf>
    <xf numFmtId="0" fontId="18" fillId="0" borderId="0" xfId="0" applyFont="1"/>
    <xf numFmtId="0" fontId="0" fillId="0" borderId="0" xfId="0" applyFill="1" applyBorder="1"/>
    <xf numFmtId="0" fontId="17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19" fillId="2" borderId="4" xfId="0" applyFont="1" applyFill="1" applyBorder="1"/>
    <xf numFmtId="0" fontId="0" fillId="3" borderId="22" xfId="0" applyFill="1" applyBorder="1" applyAlignment="1">
      <alignment horizontal="center"/>
    </xf>
    <xf numFmtId="169" fontId="20" fillId="0" borderId="0" xfId="4" applyNumberFormat="1" applyFont="1"/>
    <xf numFmtId="0" fontId="12" fillId="0" borderId="0" xfId="4" applyFont="1"/>
    <xf numFmtId="0" fontId="20" fillId="0" borderId="0" xfId="4" applyFont="1"/>
    <xf numFmtId="171" fontId="0" fillId="0" borderId="0" xfId="5" applyNumberFormat="1" applyFont="1"/>
    <xf numFmtId="9" fontId="0" fillId="0" borderId="0" xfId="0" applyNumberFormat="1"/>
    <xf numFmtId="165" fontId="8" fillId="0" borderId="0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8" fillId="0" borderId="0" xfId="0" applyFont="1" applyFill="1" applyBorder="1" applyAlignment="1">
      <alignment horizontal="right"/>
    </xf>
    <xf numFmtId="165" fontId="8" fillId="0" borderId="0" xfId="0" applyNumberFormat="1" applyFont="1" applyFill="1" applyBorder="1" applyAlignment="1"/>
    <xf numFmtId="165" fontId="8" fillId="2" borderId="39" xfId="0" applyNumberFormat="1" applyFont="1" applyFill="1" applyBorder="1" applyAlignment="1"/>
    <xf numFmtId="165" fontId="8" fillId="2" borderId="35" xfId="0" applyNumberFormat="1" applyFont="1" applyFill="1" applyBorder="1" applyAlignment="1">
      <alignment horizontal="center"/>
    </xf>
    <xf numFmtId="165" fontId="8" fillId="2" borderId="3" xfId="0" applyNumberFormat="1" applyFont="1" applyFill="1" applyBorder="1" applyAlignment="1">
      <alignment horizontal="center"/>
    </xf>
    <xf numFmtId="4" fontId="20" fillId="0" borderId="0" xfId="4" applyNumberFormat="1" applyFont="1"/>
    <xf numFmtId="4" fontId="0" fillId="0" borderId="0" xfId="0" applyNumberFormat="1"/>
    <xf numFmtId="4" fontId="6" fillId="0" borderId="0" xfId="0" applyNumberFormat="1" applyFont="1"/>
    <xf numFmtId="0" fontId="21" fillId="0" borderId="0" xfId="4" applyFont="1"/>
    <xf numFmtId="0" fontId="131" fillId="0" borderId="0" xfId="0" applyFont="1"/>
    <xf numFmtId="0" fontId="6" fillId="0" borderId="16" xfId="0" applyFont="1" applyBorder="1"/>
    <xf numFmtId="4" fontId="6" fillId="0" borderId="16" xfId="0" applyNumberFormat="1" applyFont="1" applyBorder="1"/>
    <xf numFmtId="0" fontId="5" fillId="0" borderId="0" xfId="0" applyFont="1"/>
    <xf numFmtId="0" fontId="132" fillId="0" borderId="0" xfId="4" applyFont="1"/>
    <xf numFmtId="0" fontId="7" fillId="0" borderId="0" xfId="4" applyFont="1"/>
    <xf numFmtId="0" fontId="6" fillId="0" borderId="0" xfId="4" applyFont="1"/>
    <xf numFmtId="0" fontId="5" fillId="0" borderId="16" xfId="4" applyFont="1" applyBorder="1" applyAlignment="1">
      <alignment horizontal="center" vertical="center" wrapText="1"/>
    </xf>
    <xf numFmtId="0" fontId="5" fillId="0" borderId="16" xfId="4" applyFont="1" applyBorder="1"/>
    <xf numFmtId="43" fontId="17" fillId="0" borderId="0" xfId="0" applyNumberFormat="1" applyFont="1"/>
    <xf numFmtId="4" fontId="15" fillId="0" borderId="0" xfId="0" applyNumberFormat="1" applyFont="1"/>
    <xf numFmtId="4" fontId="0" fillId="0" borderId="0" xfId="5" applyNumberFormat="1" applyFont="1"/>
    <xf numFmtId="234" fontId="8" fillId="2" borderId="34" xfId="0" applyNumberFormat="1" applyFont="1" applyFill="1" applyBorder="1" applyAlignment="1"/>
    <xf numFmtId="4" fontId="0" fillId="0" borderId="0" xfId="0" applyNumberFormat="1" applyAlignment="1"/>
    <xf numFmtId="0" fontId="8" fillId="2" borderId="58" xfId="0" applyFont="1" applyFill="1" applyBorder="1" applyAlignment="1">
      <alignment horizontal="center"/>
    </xf>
    <xf numFmtId="165" fontId="8" fillId="0" borderId="27" xfId="0" applyNumberFormat="1" applyFont="1" applyFill="1" applyBorder="1" applyAlignment="1"/>
    <xf numFmtId="0" fontId="9" fillId="0" borderId="0" xfId="0" applyFont="1" applyBorder="1" applyAlignment="1">
      <alignment horizontal="right"/>
    </xf>
    <xf numFmtId="4" fontId="17" fillId="0" borderId="0" xfId="0" applyNumberFormat="1" applyFont="1"/>
    <xf numFmtId="235" fontId="0" fillId="0" borderId="0" xfId="0" applyNumberFormat="1"/>
    <xf numFmtId="0" fontId="133" fillId="0" borderId="0" xfId="0" applyFont="1"/>
    <xf numFmtId="0" fontId="9" fillId="0" borderId="5" xfId="0" applyFont="1" applyFill="1" applyBorder="1" applyAlignment="1">
      <alignment horizontal="right"/>
    </xf>
    <xf numFmtId="165" fontId="6" fillId="46" borderId="6" xfId="2" applyNumberFormat="1" applyFont="1" applyFill="1" applyBorder="1" applyAlignment="1">
      <alignment horizontal="right"/>
    </xf>
    <xf numFmtId="165" fontId="6" fillId="0" borderId="10" xfId="2" applyNumberFormat="1" applyFont="1" applyFill="1" applyBorder="1" applyAlignment="1">
      <alignment horizontal="right"/>
    </xf>
    <xf numFmtId="0" fontId="129" fillId="0" borderId="12" xfId="0" applyFont="1" applyFill="1" applyBorder="1" applyAlignment="1">
      <alignment horizontal="center"/>
    </xf>
    <xf numFmtId="165" fontId="6" fillId="0" borderId="6" xfId="2" applyNumberFormat="1" applyFon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9" fontId="6" fillId="0" borderId="37" xfId="5" applyFont="1" applyFill="1" applyBorder="1" applyAlignment="1">
      <alignment horizontal="right"/>
    </xf>
    <xf numFmtId="0" fontId="9" fillId="0" borderId="13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0" fontId="140" fillId="0" borderId="0" xfId="4" applyFont="1"/>
    <xf numFmtId="0" fontId="11" fillId="0" borderId="22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0" fillId="0" borderId="19" xfId="0" applyFill="1" applyBorder="1"/>
    <xf numFmtId="0" fontId="0" fillId="0" borderId="4" xfId="0" applyFill="1" applyBorder="1"/>
    <xf numFmtId="165" fontId="0" fillId="0" borderId="2" xfId="2" applyNumberFormat="1" applyFont="1" applyFill="1" applyBorder="1" applyAlignment="1">
      <alignment horizontal="right"/>
    </xf>
    <xf numFmtId="0" fontId="0" fillId="0" borderId="21" xfId="0" applyFill="1" applyBorder="1"/>
    <xf numFmtId="0" fontId="3" fillId="0" borderId="22" xfId="0" applyFont="1" applyFill="1" applyBorder="1" applyAlignment="1">
      <alignment horizontal="center" vertical="center" wrapText="1"/>
    </xf>
    <xf numFmtId="166" fontId="22" fillId="0" borderId="22" xfId="0" applyNumberFormat="1" applyFont="1" applyFill="1" applyBorder="1" applyAlignment="1">
      <alignment horizontal="right"/>
    </xf>
    <xf numFmtId="0" fontId="135" fillId="0" borderId="22" xfId="0" applyFont="1" applyFill="1" applyBorder="1" applyAlignment="1">
      <alignment horizontal="center" vertical="center" wrapText="1"/>
    </xf>
    <xf numFmtId="167" fontId="135" fillId="0" borderId="34" xfId="0" applyNumberFormat="1" applyFont="1" applyFill="1" applyBorder="1" applyAlignment="1">
      <alignment horizontal="right"/>
    </xf>
    <xf numFmtId="0" fontId="0" fillId="0" borderId="0" xfId="0" applyFill="1" applyAlignment="1"/>
    <xf numFmtId="235" fontId="22" fillId="0" borderId="1" xfId="0" applyNumberFormat="1" applyFont="1" applyFill="1" applyBorder="1" applyAlignment="1">
      <alignment horizontal="right"/>
    </xf>
    <xf numFmtId="235" fontId="0" fillId="0" borderId="2" xfId="2" applyNumberFormat="1" applyFont="1" applyFill="1" applyBorder="1" applyAlignment="1">
      <alignment horizontal="right"/>
    </xf>
    <xf numFmtId="235" fontId="22" fillId="0" borderId="3" xfId="2" applyNumberFormat="1" applyFont="1" applyFill="1" applyBorder="1" applyAlignment="1">
      <alignment horizontal="right"/>
    </xf>
    <xf numFmtId="235" fontId="22" fillId="0" borderId="24" xfId="0" applyNumberFormat="1" applyFont="1" applyFill="1" applyBorder="1" applyAlignment="1">
      <alignment horizontal="right"/>
    </xf>
    <xf numFmtId="0" fontId="135" fillId="0" borderId="19" xfId="0" applyFont="1" applyFill="1" applyBorder="1" applyAlignment="1">
      <alignment horizontal="center" vertical="center" wrapText="1"/>
    </xf>
    <xf numFmtId="0" fontId="135" fillId="0" borderId="16" xfId="0" applyFont="1" applyFill="1" applyBorder="1" applyAlignment="1">
      <alignment horizontal="center" vertical="center" wrapText="1"/>
    </xf>
    <xf numFmtId="0" fontId="141" fillId="0" borderId="22" xfId="0" applyFont="1" applyFill="1" applyBorder="1" applyAlignment="1">
      <alignment horizontal="center" vertical="center" wrapText="1"/>
    </xf>
    <xf numFmtId="171" fontId="141" fillId="0" borderId="34" xfId="5" applyNumberFormat="1" applyFont="1" applyFill="1" applyBorder="1" applyAlignment="1">
      <alignment horizontal="right"/>
    </xf>
    <xf numFmtId="0" fontId="6" fillId="0" borderId="16" xfId="0" applyFont="1" applyFill="1" applyBorder="1"/>
    <xf numFmtId="9" fontId="6" fillId="0" borderId="16" xfId="0" applyNumberFormat="1" applyFont="1" applyFill="1" applyBorder="1"/>
    <xf numFmtId="3" fontId="6" fillId="0" borderId="16" xfId="0" applyNumberFormat="1" applyFont="1" applyFill="1" applyBorder="1"/>
    <xf numFmtId="3" fontId="6" fillId="0" borderId="0" xfId="0" applyNumberFormat="1" applyFont="1" applyFill="1"/>
    <xf numFmtId="0" fontId="6" fillId="0" borderId="0" xfId="0" applyFont="1" applyFill="1"/>
    <xf numFmtId="0" fontId="136" fillId="0" borderId="0" xfId="4" applyFont="1" applyFill="1"/>
    <xf numFmtId="169" fontId="136" fillId="0" borderId="0" xfId="4" applyNumberFormat="1" applyFont="1" applyFill="1"/>
    <xf numFmtId="4" fontId="6" fillId="0" borderId="16" xfId="0" applyNumberFormat="1" applyFont="1" applyFill="1" applyBorder="1"/>
    <xf numFmtId="0" fontId="6" fillId="0" borderId="16" xfId="0" applyFont="1" applyFill="1" applyBorder="1" applyAlignment="1">
      <alignment horizontal="center" vertical="center"/>
    </xf>
    <xf numFmtId="167" fontId="6" fillId="0" borderId="16" xfId="0" applyNumberFormat="1" applyFont="1" applyFill="1" applyBorder="1"/>
    <xf numFmtId="4" fontId="6" fillId="0" borderId="0" xfId="0" applyNumberFormat="1" applyFont="1" applyFill="1"/>
    <xf numFmtId="4" fontId="7" fillId="0" borderId="16" xfId="0" applyNumberFormat="1" applyFont="1" applyFill="1" applyBorder="1"/>
    <xf numFmtId="0" fontId="5" fillId="0" borderId="2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21" fillId="0" borderId="16" xfId="0" applyFont="1" applyFill="1" applyBorder="1"/>
    <xf numFmtId="165" fontId="16" fillId="0" borderId="0" xfId="2" applyNumberFormat="1" applyFont="1" applyFill="1" applyBorder="1" applyAlignment="1">
      <alignment horizontal="right"/>
    </xf>
    <xf numFmtId="168" fontId="16" fillId="0" borderId="37" xfId="2" applyNumberFormat="1" applyFont="1" applyFill="1" applyBorder="1" applyAlignment="1">
      <alignment horizontal="right"/>
    </xf>
    <xf numFmtId="171" fontId="6" fillId="0" borderId="10" xfId="5" applyNumberFormat="1" applyFont="1" applyFill="1" applyBorder="1" applyAlignment="1">
      <alignment horizontal="right"/>
    </xf>
    <xf numFmtId="165" fontId="5" fillId="0" borderId="28" xfId="0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right"/>
    </xf>
    <xf numFmtId="165" fontId="16" fillId="0" borderId="10" xfId="2" applyNumberFormat="1" applyFont="1" applyFill="1" applyBorder="1" applyAlignment="1">
      <alignment horizontal="right"/>
    </xf>
    <xf numFmtId="168" fontId="16" fillId="0" borderId="14" xfId="2" applyNumberFormat="1" applyFont="1" applyFill="1" applyBorder="1" applyAlignment="1">
      <alignment horizontal="right"/>
    </xf>
    <xf numFmtId="0" fontId="22" fillId="0" borderId="0" xfId="0" applyFont="1" applyFill="1" applyAlignment="1">
      <alignment wrapText="1"/>
    </xf>
    <xf numFmtId="9" fontId="6" fillId="0" borderId="14" xfId="5" applyFont="1" applyFill="1" applyBorder="1" applyAlignment="1">
      <alignment horizontal="right"/>
    </xf>
    <xf numFmtId="3" fontId="6" fillId="0" borderId="10" xfId="5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horizontal="right" vertical="top" wrapText="1"/>
    </xf>
    <xf numFmtId="9" fontId="6" fillId="0" borderId="6" xfId="5" applyFont="1" applyFill="1" applyBorder="1" applyAlignment="1">
      <alignment horizontal="right"/>
    </xf>
    <xf numFmtId="43" fontId="9" fillId="0" borderId="10" xfId="2" applyFont="1" applyFill="1" applyBorder="1" applyAlignment="1">
      <alignment horizontal="right"/>
    </xf>
    <xf numFmtId="43" fontId="5" fillId="0" borderId="34" xfId="0" applyNumberFormat="1" applyFont="1" applyFill="1" applyBorder="1" applyAlignment="1"/>
    <xf numFmtId="43" fontId="16" fillId="0" borderId="10" xfId="2" applyFont="1" applyFill="1" applyBorder="1" applyAlignment="1">
      <alignment horizontal="right"/>
    </xf>
    <xf numFmtId="165" fontId="7" fillId="0" borderId="10" xfId="2" applyNumberFormat="1" applyFont="1" applyFill="1" applyBorder="1" applyAlignment="1">
      <alignment horizontal="right"/>
    </xf>
    <xf numFmtId="0" fontId="20" fillId="0" borderId="16" xfId="4" applyFont="1" applyFill="1" applyBorder="1" applyAlignment="1">
      <alignment horizontal="center" vertical="center" wrapText="1"/>
    </xf>
    <xf numFmtId="0" fontId="21" fillId="0" borderId="16" xfId="4" applyFont="1" applyFill="1" applyBorder="1" applyAlignment="1">
      <alignment horizontal="center" vertical="center" wrapText="1"/>
    </xf>
    <xf numFmtId="0" fontId="21" fillId="0" borderId="16" xfId="4" applyFont="1" applyFill="1" applyBorder="1"/>
    <xf numFmtId="0" fontId="20" fillId="0" borderId="16" xfId="4" applyFont="1" applyFill="1" applyBorder="1" applyAlignment="1">
      <alignment horizontal="left" vertical="top" wrapText="1"/>
    </xf>
    <xf numFmtId="4" fontId="20" fillId="0" borderId="16" xfId="4" applyNumberFormat="1" applyFont="1" applyFill="1" applyBorder="1"/>
    <xf numFmtId="0" fontId="20" fillId="0" borderId="0" xfId="4" applyFont="1" applyFill="1"/>
    <xf numFmtId="169" fontId="20" fillId="0" borderId="0" xfId="4" applyNumberFormat="1" applyFont="1" applyFill="1"/>
    <xf numFmtId="0" fontId="139" fillId="0" borderId="0" xfId="0" applyFont="1" applyFill="1"/>
    <xf numFmtId="0" fontId="22" fillId="0" borderId="0" xfId="0" applyFont="1" applyFill="1"/>
    <xf numFmtId="0" fontId="131" fillId="0" borderId="0" xfId="0" applyFont="1" applyFill="1"/>
    <xf numFmtId="0" fontId="137" fillId="0" borderId="16" xfId="0" applyFont="1" applyFill="1" applyBorder="1" applyAlignment="1">
      <alignment horizontal="center" vertical="center" wrapText="1"/>
    </xf>
    <xf numFmtId="0" fontId="138" fillId="0" borderId="16" xfId="0" applyFont="1" applyFill="1" applyBorder="1" applyAlignment="1">
      <alignment horizontal="center" vertical="center" wrapText="1"/>
    </xf>
    <xf numFmtId="0" fontId="138" fillId="0" borderId="16" xfId="4" applyFont="1" applyFill="1" applyBorder="1" applyAlignment="1">
      <alignment horizontal="center" vertical="center" wrapText="1"/>
    </xf>
    <xf numFmtId="165" fontId="138" fillId="0" borderId="16" xfId="2" applyNumberFormat="1" applyFont="1" applyFill="1" applyBorder="1"/>
    <xf numFmtId="0" fontId="20" fillId="0" borderId="0" xfId="4" applyFont="1" applyFill="1" applyBorder="1" applyAlignment="1">
      <alignment horizontal="left" vertical="top" wrapText="1"/>
    </xf>
    <xf numFmtId="4" fontId="20" fillId="0" borderId="0" xfId="4" applyNumberFormat="1" applyFont="1" applyFill="1" applyBorder="1"/>
    <xf numFmtId="171" fontId="20" fillId="0" borderId="16" xfId="5" applyNumberFormat="1" applyFont="1" applyFill="1" applyBorder="1"/>
    <xf numFmtId="4" fontId="20" fillId="0" borderId="0" xfId="4" applyNumberFormat="1" applyFont="1" applyFill="1"/>
    <xf numFmtId="0" fontId="21" fillId="0" borderId="0" xfId="4" applyFont="1" applyFill="1"/>
    <xf numFmtId="171" fontId="20" fillId="0" borderId="0" xfId="5" applyNumberFormat="1" applyFont="1" applyFill="1"/>
    <xf numFmtId="9" fontId="20" fillId="0" borderId="16" xfId="4" applyNumberFormat="1" applyFont="1" applyFill="1" applyBorder="1"/>
    <xf numFmtId="0" fontId="132" fillId="0" borderId="0" xfId="4" applyFont="1" applyFill="1"/>
    <xf numFmtId="10" fontId="22" fillId="0" borderId="1" xfId="5" applyNumberFormat="1" applyFont="1" applyFill="1" applyBorder="1" applyAlignment="1">
      <alignment horizontal="center"/>
    </xf>
    <xf numFmtId="10" fontId="3" fillId="0" borderId="2" xfId="5" applyNumberFormat="1" applyFont="1" applyFill="1" applyBorder="1" applyAlignment="1">
      <alignment horizontal="center"/>
    </xf>
    <xf numFmtId="9" fontId="4" fillId="0" borderId="2" xfId="0" applyNumberFormat="1" applyFont="1" applyFill="1" applyBorder="1" applyAlignment="1">
      <alignment horizontal="center"/>
    </xf>
    <xf numFmtId="9" fontId="130" fillId="0" borderId="3" xfId="0" applyNumberFormat="1" applyFont="1" applyFill="1" applyBorder="1" applyAlignment="1">
      <alignment horizontal="center"/>
    </xf>
    <xf numFmtId="0" fontId="134" fillId="0" borderId="16" xfId="0" applyFont="1" applyFill="1" applyBorder="1"/>
    <xf numFmtId="9" fontId="134" fillId="0" borderId="16" xfId="5" applyNumberFormat="1" applyFont="1" applyFill="1" applyBorder="1"/>
    <xf numFmtId="2" fontId="134" fillId="0" borderId="16" xfId="0" applyNumberFormat="1" applyFont="1" applyFill="1" applyBorder="1"/>
    <xf numFmtId="9" fontId="134" fillId="0" borderId="16" xfId="5" applyFont="1" applyFill="1" applyBorder="1"/>
    <xf numFmtId="0" fontId="22" fillId="0" borderId="16" xfId="0" applyFont="1" applyFill="1" applyBorder="1" applyAlignment="1">
      <alignment horizontal="center" vertical="center" wrapText="1"/>
    </xf>
    <xf numFmtId="0" fontId="10" fillId="0" borderId="16" xfId="488" applyNumberFormat="1" applyFont="1" applyFill="1" applyBorder="1" applyAlignment="1">
      <alignment horizontal="center"/>
    </xf>
    <xf numFmtId="167" fontId="10" fillId="0" borderId="16" xfId="488" applyNumberFormat="1" applyFont="1" applyFill="1" applyBorder="1"/>
    <xf numFmtId="0" fontId="142" fillId="0" borderId="0" xfId="0" applyFont="1" applyFill="1"/>
    <xf numFmtId="4" fontId="143" fillId="0" borderId="0" xfId="0" applyNumberFormat="1" applyFont="1" applyFill="1"/>
    <xf numFmtId="0" fontId="143" fillId="0" borderId="0" xfId="0" applyFont="1" applyFill="1"/>
    <xf numFmtId="0" fontId="142" fillId="0" borderId="16" xfId="0" applyFont="1" applyFill="1" applyBorder="1"/>
    <xf numFmtId="4" fontId="142" fillId="0" borderId="16" xfId="0" applyNumberFormat="1" applyFont="1" applyFill="1" applyBorder="1"/>
    <xf numFmtId="0" fontId="143" fillId="0" borderId="0" xfId="0" applyFont="1"/>
    <xf numFmtId="165" fontId="6" fillId="47" borderId="6" xfId="2" applyNumberFormat="1" applyFont="1" applyFill="1" applyBorder="1" applyAlignment="1">
      <alignment horizontal="right"/>
    </xf>
    <xf numFmtId="165" fontId="8" fillId="47" borderId="28" xfId="0" applyNumberFormat="1" applyFont="1" applyFill="1" applyBorder="1" applyAlignment="1"/>
    <xf numFmtId="165" fontId="22" fillId="47" borderId="3" xfId="2" applyNumberFormat="1" applyFont="1" applyFill="1" applyBorder="1" applyAlignment="1">
      <alignment horizontal="right"/>
    </xf>
    <xf numFmtId="166" fontId="0" fillId="47" borderId="24" xfId="0" applyNumberFormat="1" applyFill="1" applyBorder="1" applyAlignment="1">
      <alignment horizontal="right"/>
    </xf>
    <xf numFmtId="167" fontId="135" fillId="47" borderId="34" xfId="0" applyNumberFormat="1" applyFont="1" applyFill="1" applyBorder="1" applyAlignment="1">
      <alignment horizontal="right"/>
    </xf>
    <xf numFmtId="167" fontId="135" fillId="47" borderId="38" xfId="0" applyNumberFormat="1" applyFont="1" applyFill="1" applyBorder="1" applyAlignment="1">
      <alignment horizontal="right"/>
    </xf>
    <xf numFmtId="167" fontId="135" fillId="47" borderId="16" xfId="0" applyNumberFormat="1" applyFont="1" applyFill="1" applyBorder="1" applyAlignment="1">
      <alignment horizontal="right"/>
    </xf>
    <xf numFmtId="167" fontId="141" fillId="47" borderId="34" xfId="0" applyNumberFormat="1" applyFont="1" applyFill="1" applyBorder="1" applyAlignment="1">
      <alignment horizontal="right"/>
    </xf>
    <xf numFmtId="165" fontId="20" fillId="0" borderId="10" xfId="4" applyNumberFormat="1" applyFont="1" applyFill="1" applyBorder="1" applyAlignment="1">
      <alignment vertical="center"/>
    </xf>
    <xf numFmtId="4" fontId="20" fillId="47" borderId="16" xfId="4" applyNumberFormat="1" applyFont="1" applyFill="1" applyBorder="1"/>
    <xf numFmtId="171" fontId="20" fillId="47" borderId="16" xfId="5" applyNumberFormat="1" applyFont="1" applyFill="1" applyBorder="1"/>
    <xf numFmtId="0" fontId="20" fillId="47" borderId="16" xfId="4" applyFont="1" applyFill="1" applyBorder="1"/>
    <xf numFmtId="0" fontId="132" fillId="47" borderId="16" xfId="4" applyFont="1" applyFill="1" applyBorder="1"/>
    <xf numFmtId="0" fontId="6" fillId="47" borderId="16" xfId="0" applyFont="1" applyFill="1" applyBorder="1"/>
    <xf numFmtId="0" fontId="6" fillId="47" borderId="16" xfId="4" applyFont="1" applyFill="1" applyBorder="1"/>
    <xf numFmtId="0" fontId="7" fillId="47" borderId="16" xfId="4" applyFont="1" applyFill="1" applyBorder="1"/>
    <xf numFmtId="4" fontId="6" fillId="47" borderId="16" xfId="0" applyNumberFormat="1" applyFont="1" applyFill="1" applyBorder="1"/>
    <xf numFmtId="9" fontId="6" fillId="47" borderId="16" xfId="5" applyFont="1" applyFill="1" applyBorder="1"/>
    <xf numFmtId="4" fontId="7" fillId="47" borderId="16" xfId="0" applyNumberFormat="1" applyFont="1" applyFill="1" applyBorder="1"/>
    <xf numFmtId="4" fontId="21" fillId="47" borderId="16" xfId="0" applyNumberFormat="1" applyFont="1" applyFill="1" applyBorder="1"/>
    <xf numFmtId="3" fontId="22" fillId="47" borderId="19" xfId="0" applyNumberFormat="1" applyFont="1" applyFill="1" applyBorder="1" applyAlignment="1">
      <alignment horizontal="right"/>
    </xf>
    <xf numFmtId="166" fontId="21" fillId="47" borderId="16" xfId="3" applyNumberFormat="1" applyFont="1" applyFill="1" applyBorder="1"/>
    <xf numFmtId="165" fontId="6" fillId="47" borderId="10" xfId="2" applyNumberFormat="1" applyFont="1" applyFill="1" applyBorder="1" applyAlignment="1">
      <alignment horizontal="right"/>
    </xf>
    <xf numFmtId="165" fontId="5" fillId="47" borderId="28" xfId="0" applyNumberFormat="1" applyFont="1" applyFill="1" applyBorder="1" applyAlignment="1"/>
  </cellXfs>
  <cellStyles count="489">
    <cellStyle name="_x000a_shell=progma 2" xfId="9"/>
    <cellStyle name="#" xfId="10"/>
    <cellStyle name="%" xfId="1"/>
    <cellStyle name="%_161147 HABER AB08" xfId="11"/>
    <cellStyle name="%_Actas_Val_Fin_AM_Octubre_2008" xfId="12"/>
    <cellStyle name="%_Actas_Val_Fin_MLC_Diciembre_2007" xfId="13"/>
    <cellStyle name="%_Actas_Val_Fin_Nextel_Agosto_2008" xfId="14"/>
    <cellStyle name="%_Actas_Val_Fin_Nextel_Fija_Abril_2008" xfId="15"/>
    <cellStyle name="%_Actas_Val_Fin_Nextel_Fija_Enero_2008" xfId="16"/>
    <cellStyle name="%_Actas_Val_Fin_Nextel_Fija_Junio_2008" xfId="17"/>
    <cellStyle name="%_Actas_Val_Fin_Nextel_Fija_Octubre_2008" xfId="18"/>
    <cellStyle name="%_Actas_Val_Fin_Nextel_Fija_Setiembre_2008" xfId="19"/>
    <cellStyle name="%_Actas_Val_Fin_Nextel_Julio_2008" xfId="20"/>
    <cellStyle name="%_Actas_Val_Fin_Nextel_Junio_2008" xfId="21"/>
    <cellStyle name="%_Actas_Val_Fin_Nextel_Mayo_2008" xfId="22"/>
    <cellStyle name="%_Actas_Val_Fin_TSM_Febrero_2008" xfId="23"/>
    <cellStyle name="%_Actas_Val_Prel_AM_Julio_2008" xfId="24"/>
    <cellStyle name="%_Actas_Val_Prel_AM_Setiembre_2008" xfId="25"/>
    <cellStyle name="%_Actas_Val_Prel_Nextel_Abril_2008" xfId="26"/>
    <cellStyle name="%_Actas_Val_Prel_Nextel_Agosto_2008" xfId="27"/>
    <cellStyle name="%_Actas_Val_Prel_Nextel_Julio_2008" xfId="28"/>
    <cellStyle name="%_Actas_Val_Prel_Nextel_Octubre_2007" xfId="29"/>
    <cellStyle name="%_Actas_Val_Prel_Nextel_Octubre_2008" xfId="30"/>
    <cellStyle name="%_Actas_Val_Prel_Nextel_Setiembre_2008" xfId="31"/>
    <cellStyle name="%_Actas_Val_Prel_Tim_Noviembre_2007" xfId="32"/>
    <cellStyle name="%_Actas_Val_Prel_Tim_Octubre_2007" xfId="33"/>
    <cellStyle name="(4) STM-1 (LECT)_x000d__x000a_PL-4579-M-039-99_x000d__x000a_FALTA APE" xfId="34"/>
    <cellStyle name="*MB Hardwired" xfId="35"/>
    <cellStyle name="*MB Input Table Calc" xfId="36"/>
    <cellStyle name="*MB Normal" xfId="37"/>
    <cellStyle name="*MB Placeholder" xfId="38"/>
    <cellStyle name="???" xfId="39"/>
    <cellStyle name="_0 - 3G Spain BOM Summary" xfId="40"/>
    <cellStyle name="_1xRTT 3rd Carrier B-Form V.02 221102" xfId="41"/>
    <cellStyle name="_ADICIONALES Rev FA (2)" xfId="42"/>
    <cellStyle name="_Anexo 16.7.2 Planilha de Preços Unitários Rede GSM  Darw" xfId="43"/>
    <cellStyle name="_BTS comp and discount structure V.11" xfId="44"/>
    <cellStyle name="_CAL CE041 01 06 REV B OA" xfId="45"/>
    <cellStyle name="_CAL CE041 03 06 OE" xfId="46"/>
    <cellStyle name="_CCPPs_General" xfId="47"/>
    <cellStyle name="_CCPPs_General_I. T. Fija 1" xfId="48"/>
    <cellStyle name="_Cimentación Torre 16set29" xfId="49"/>
    <cellStyle name="_Clientes_Tráfico_voz_Tráfico_datos (3)" xfId="50"/>
    <cellStyle name="_Cobertura Fija IV trim" xfId="51"/>
    <cellStyle name="_Cobertura Móvil" xfId="52"/>
    <cellStyle name="_Cobertura Telefonía Móvil" xfId="53"/>
    <cellStyle name="_Comcel Phase 5 B-Form" xfId="54"/>
    <cellStyle name="_control de obras 30 01 07" xfId="55"/>
    <cellStyle name="_CRONO NUEVO SOMBRA_7" xfId="56"/>
    <cellStyle name="_Cronograma sombra azul por semana Abril Mayo Rev 2" xfId="57"/>
    <cellStyle name="_CUOTA ANUAL 2008 FINAL 02.04.2009" xfId="58"/>
    <cellStyle name="_Enviado a comercial 180806 -  Preciario CW -" xfId="59"/>
    <cellStyle name="_EQList Data Backbone PP15K-7K 100603 w COSTS" xfId="60"/>
    <cellStyle name="_EQList TdP OM4150 100603 - w COSTS" xfId="61"/>
    <cellStyle name="_Estaciones 2007 con coordenadas" xfId="62"/>
    <cellStyle name="_ESTADO AL  111006" xfId="63"/>
    <cellStyle name="_Estudio de Radioenlaces" xfId="64"/>
    <cellStyle name="_FICHAS_ENTREGADAS_EN SEP-DIC" xfId="65"/>
    <cellStyle name="_Hoja1" xfId="66"/>
    <cellStyle name="_Hoja1_1" xfId="67"/>
    <cellStyle name="_Hoja1_2" xfId="68"/>
    <cellStyle name="_Hoja2" xfId="69"/>
    <cellStyle name="_Hoja3" xfId="70"/>
    <cellStyle name="_Hoja3_1" xfId="71"/>
    <cellStyle name="_Hoja3_Hoja1" xfId="72"/>
    <cellStyle name="_Hoja3_Hoja8" xfId="73"/>
    <cellStyle name="_Hoja4" xfId="74"/>
    <cellStyle name="_Hoja5" xfId="75"/>
    <cellStyle name="_Hoja8" xfId="76"/>
    <cellStyle name="_Hoja8_1" xfId="77"/>
    <cellStyle name="_Huawei Local Service Summary Table" xfId="78"/>
    <cellStyle name="_I Trim 2009" xfId="79"/>
    <cellStyle name="_I Trimestre" xfId="80"/>
    <cellStyle name="_I. T. Fija 1" xfId="81"/>
    <cellStyle name="_II Trimestre" xfId="82"/>
    <cellStyle name="_III Trimestre" xfId="83"/>
    <cellStyle name="_Info BS 050307" xfId="84"/>
    <cellStyle name="_IV Trimestre" xfId="85"/>
    <cellStyle name="_Leadcom Target" xfId="86"/>
    <cellStyle name="_Leadcoml_NOKIA BSS PACKTargets_June2005" xfId="87"/>
    <cellStyle name="_Libro1" xfId="88"/>
    <cellStyle name="_Libro2" xfId="89"/>
    <cellStyle name="_Lima y callao" xfId="90"/>
    <cellStyle name="_Listado REPs considerados" xfId="91"/>
    <cellStyle name="_Pagos por Concesión" xfId="92"/>
    <cellStyle name="_Plan2007" xfId="93"/>
    <cellStyle name="_PO 2007 Trabajo_15_02_07_copy" xfId="94"/>
    <cellStyle name="_PROYECTOS_SOMBRA_AZUL" xfId="95"/>
    <cellStyle name="_Reclamos" xfId="96"/>
    <cellStyle name="_Resumen Provincias Telefonica (2-SPM) v3" xfId="97"/>
    <cellStyle name="_Resumen Provincias Telefonica v2" xfId="98"/>
    <cellStyle name="_SERVICIO MÓVIL Y CABLE" xfId="99"/>
    <cellStyle name="_SITE_TOTAL" xfId="100"/>
    <cellStyle name="_Sombra_azul_2006" xfId="101"/>
    <cellStyle name="_Status de Implementaciones 13-09-06" xfId="102"/>
    <cellStyle name="_Torre 30 m- evaluado 120-2-p" xfId="103"/>
    <cellStyle name="_TRÁFICO" xfId="104"/>
    <cellStyle name="_tráfico (incluye I trimestre 2009) y clientes por tecnología" xfId="105"/>
    <cellStyle name="_Verificación PO2007_FINAL" xfId="106"/>
    <cellStyle name="=C:\WINDOWS\SYSTEM32\COMMAND.COM" xfId="107"/>
    <cellStyle name="=C:\WINNT35\SYSTEM32\COMMAND.COM" xfId="108"/>
    <cellStyle name="=C:\WINNT35\SYSTEM32\COMMAND.COM 3" xfId="109"/>
    <cellStyle name="•W_laroux" xfId="110"/>
    <cellStyle name="0,0_x000d__x000a_NA_x000d__x000a_" xfId="111"/>
    <cellStyle name="0000" xfId="112"/>
    <cellStyle name="000000" xfId="113"/>
    <cellStyle name="0UserFill" xfId="114"/>
    <cellStyle name="1" xfId="115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40% - Accent1" xfId="122"/>
    <cellStyle name="40% - Accent2" xfId="123"/>
    <cellStyle name="40% - Accent3" xfId="124"/>
    <cellStyle name="40% - Accent4" xfId="125"/>
    <cellStyle name="40% - Accent5" xfId="126"/>
    <cellStyle name="40% - Accent6" xfId="127"/>
    <cellStyle name="40% - Énfasis3 2" xfId="128"/>
    <cellStyle name="571" xfId="129"/>
    <cellStyle name="60% - Accent1" xfId="130"/>
    <cellStyle name="60% - Accent2" xfId="131"/>
    <cellStyle name="60% - Accent3" xfId="132"/>
    <cellStyle name="60% - Accent4" xfId="133"/>
    <cellStyle name="60% - Accent5" xfId="134"/>
    <cellStyle name="60% - Accent6" xfId="135"/>
    <cellStyle name="Accent1" xfId="136"/>
    <cellStyle name="Accent2" xfId="137"/>
    <cellStyle name="Accent3" xfId="138"/>
    <cellStyle name="Accent4" xfId="139"/>
    <cellStyle name="Accent5" xfId="140"/>
    <cellStyle name="Accent6" xfId="141"/>
    <cellStyle name="Actual Date" xfId="142"/>
    <cellStyle name="args.style" xfId="143"/>
    <cellStyle name="Assumption" xfId="144"/>
    <cellStyle name="axlcolour" xfId="145"/>
    <cellStyle name="Bad" xfId="146"/>
    <cellStyle name="blank" xfId="147"/>
    <cellStyle name="Blue Heading" xfId="148"/>
    <cellStyle name="Board Level" xfId="149"/>
    <cellStyle name="Cabecera 1" xfId="150"/>
    <cellStyle name="Cabecera 2" xfId="151"/>
    <cellStyle name="Calc" xfId="152"/>
    <cellStyle name="Calc Currency (0)" xfId="153"/>
    <cellStyle name="Calc Currency (2)" xfId="154"/>
    <cellStyle name="Calc Percent (0)" xfId="155"/>
    <cellStyle name="Calc Percent (1)" xfId="156"/>
    <cellStyle name="Calc Percent (2)" xfId="157"/>
    <cellStyle name="Calc Units (0)" xfId="158"/>
    <cellStyle name="Calc Units (1)" xfId="159"/>
    <cellStyle name="Calc Units (2)" xfId="160"/>
    <cellStyle name="Calculation" xfId="161"/>
    <cellStyle name="Cancel" xfId="162"/>
    <cellStyle name="category" xfId="163"/>
    <cellStyle name="Check" xfId="164"/>
    <cellStyle name="Check Cell" xfId="165"/>
    <cellStyle name="Checksum" xfId="166"/>
    <cellStyle name="Code" xfId="167"/>
    <cellStyle name="Col_heading" xfId="168"/>
    <cellStyle name="Column Heading" xfId="169"/>
    <cellStyle name="Column Heading (No Wrap)" xfId="170"/>
    <cellStyle name="Column Heading_Demand Summary" xfId="171"/>
    <cellStyle name="Column label" xfId="172"/>
    <cellStyle name="Column label (left aligned)" xfId="173"/>
    <cellStyle name="Column label (no wrap)" xfId="174"/>
    <cellStyle name="Column label (not bold)" xfId="175"/>
    <cellStyle name="Column label (Wrap)" xfId="176"/>
    <cellStyle name="Column Total" xfId="177"/>
    <cellStyle name="Column_heading" xfId="178"/>
    <cellStyle name="Comma [0]" xfId="179"/>
    <cellStyle name="Comma [00]" xfId="180"/>
    <cellStyle name="Comma_1995" xfId="181"/>
    <cellStyle name="Comma0" xfId="182"/>
    <cellStyle name="Comma0 - Modelo1" xfId="183"/>
    <cellStyle name="Comma0 - Style1" xfId="184"/>
    <cellStyle name="Comma1 - Modelo2" xfId="185"/>
    <cellStyle name="Comma1 - Style2" xfId="186"/>
    <cellStyle name="ContentsHyperlink" xfId="187"/>
    <cellStyle name="Copied" xfId="188"/>
    <cellStyle name="Cost_category_heading" xfId="189"/>
    <cellStyle name="COST1" xfId="190"/>
    <cellStyle name="Costs" xfId="191"/>
    <cellStyle name="Currency (2dp)" xfId="192"/>
    <cellStyle name="Currency [0]" xfId="193"/>
    <cellStyle name="Currency [00]" xfId="194"/>
    <cellStyle name="Currency Dollar" xfId="195"/>
    <cellStyle name="Currency Dollar (2dp)" xfId="196"/>
    <cellStyle name="Currency EUR" xfId="197"/>
    <cellStyle name="Currency EUR (2dp)" xfId="198"/>
    <cellStyle name="Currency Euro" xfId="199"/>
    <cellStyle name="Currency Euro (2dp)" xfId="200"/>
    <cellStyle name="Currency GBP" xfId="201"/>
    <cellStyle name="Currency GBP (2dp)" xfId="202"/>
    <cellStyle name="Currency Pound" xfId="203"/>
    <cellStyle name="Currency Pound (2dp)" xfId="204"/>
    <cellStyle name="Currency USD" xfId="205"/>
    <cellStyle name="Currency USD (2dp)" xfId="206"/>
    <cellStyle name="Currency_1995" xfId="207"/>
    <cellStyle name="Currency0" xfId="208"/>
    <cellStyle name="Date" xfId="209"/>
    <cellStyle name="Date (Month)" xfId="210"/>
    <cellStyle name="Date (Year)" xfId="211"/>
    <cellStyle name="Date Short" xfId="212"/>
    <cellStyle name="Date_book1" xfId="213"/>
    <cellStyle name="Description" xfId="214"/>
    <cellStyle name="Dia" xfId="215"/>
    <cellStyle name="Diseño" xfId="216"/>
    <cellStyle name="Diseño 2" xfId="217"/>
    <cellStyle name="Diseño_04. Compensación TM_TdP Abr08" xfId="218"/>
    <cellStyle name="Encabez1" xfId="219"/>
    <cellStyle name="Encabez2" xfId="220"/>
    <cellStyle name="Énfasis3 2" xfId="221"/>
    <cellStyle name="Enter Currency (0)" xfId="222"/>
    <cellStyle name="Enter Currency (2)" xfId="223"/>
    <cellStyle name="Enter Units (0)" xfId="224"/>
    <cellStyle name="Enter Units (1)" xfId="225"/>
    <cellStyle name="Enter Units (2)" xfId="226"/>
    <cellStyle name="Entered" xfId="227"/>
    <cellStyle name="Entrée" xfId="228"/>
    <cellStyle name="Estilo 1" xfId="229"/>
    <cellStyle name="Estilo 1 2" xfId="230"/>
    <cellStyle name="Estilo 2" xfId="231"/>
    <cellStyle name="Estilo 3" xfId="232"/>
    <cellStyle name="Estilo 4" xfId="233"/>
    <cellStyle name="Euro" xfId="234"/>
    <cellStyle name="Explanatory Text" xfId="235"/>
    <cellStyle name="F2" xfId="236"/>
    <cellStyle name="F3" xfId="237"/>
    <cellStyle name="F4" xfId="238"/>
    <cellStyle name="F5" xfId="239"/>
    <cellStyle name="F6" xfId="240"/>
    <cellStyle name="F7" xfId="241"/>
    <cellStyle name="F8" xfId="242"/>
    <cellStyle name="FAB level" xfId="243"/>
    <cellStyle name="FAB no" xfId="244"/>
    <cellStyle name="FAB price" xfId="245"/>
    <cellStyle name="Fecha" xfId="246"/>
    <cellStyle name="Fecha1 - Estilo1" xfId="247"/>
    <cellStyle name="Fijo" xfId="248"/>
    <cellStyle name="Financial_calc" xfId="249"/>
    <cellStyle name="Financiero" xfId="250"/>
    <cellStyle name="Fixed" xfId="251"/>
    <cellStyle name="Good" xfId="252"/>
    <cellStyle name="Grey" xfId="253"/>
    <cellStyle name="H0" xfId="254"/>
    <cellStyle name="H1" xfId="255"/>
    <cellStyle name="H2" xfId="256"/>
    <cellStyle name="H3" xfId="257"/>
    <cellStyle name="H4" xfId="258"/>
    <cellStyle name="Header" xfId="259"/>
    <cellStyle name="Header1" xfId="260"/>
    <cellStyle name="Header2" xfId="261"/>
    <cellStyle name="Heading" xfId="262"/>
    <cellStyle name="Heading 1" xfId="263"/>
    <cellStyle name="Heading 2" xfId="264"/>
    <cellStyle name="Heading 3" xfId="265"/>
    <cellStyle name="Heading 4" xfId="266"/>
    <cellStyle name="HEADING1" xfId="267"/>
    <cellStyle name="HEADING2" xfId="268"/>
    <cellStyle name="Highlight" xfId="269"/>
    <cellStyle name="Hipervínculo 2" xfId="270"/>
    <cellStyle name="Hipervínculo 3" xfId="271"/>
    <cellStyle name="Hyperlink" xfId="272"/>
    <cellStyle name="Index" xfId="273"/>
    <cellStyle name="Initial Inputs" xfId="274"/>
    <cellStyle name="Input" xfId="275"/>
    <cellStyle name="Input [yellow]" xfId="276"/>
    <cellStyle name="Input 2" xfId="8"/>
    <cellStyle name="Input calculation" xfId="277"/>
    <cellStyle name="Input Cells" xfId="278"/>
    <cellStyle name="Input data" xfId="279"/>
    <cellStyle name="Input estimate" xfId="280"/>
    <cellStyle name="Input Link" xfId="281"/>
    <cellStyle name="Input link (different workbook)" xfId="282"/>
    <cellStyle name="Input link_Demand Summary" xfId="283"/>
    <cellStyle name="Input parameter" xfId="284"/>
    <cellStyle name="Input_Capex depreciated" xfId="285"/>
    <cellStyle name="InputBlueFont" xfId="286"/>
    <cellStyle name="Jun" xfId="287"/>
    <cellStyle name="Komma [0]_RESULTS" xfId="288"/>
    <cellStyle name="Komma_RESULTS" xfId="289"/>
    <cellStyle name="Link Currency (0)" xfId="290"/>
    <cellStyle name="Link Currency (2)" xfId="291"/>
    <cellStyle name="Link Units (0)" xfId="292"/>
    <cellStyle name="Link Units (1)" xfId="293"/>
    <cellStyle name="Link Units (2)" xfId="294"/>
    <cellStyle name="Linked" xfId="295"/>
    <cellStyle name="Linked Cell" xfId="296"/>
    <cellStyle name="Linked Cells" xfId="297"/>
    <cellStyle name="Logic_input" xfId="298"/>
    <cellStyle name="Main Title" xfId="299"/>
    <cellStyle name="MARQ" xfId="300"/>
    <cellStyle name="Migliaia (0)_1641SM D" xfId="301"/>
    <cellStyle name="Migliaia_1641SM D" xfId="302"/>
    <cellStyle name="Millares" xfId="2" builtinId="3"/>
    <cellStyle name="Millares 10" xfId="303"/>
    <cellStyle name="Millares 11" xfId="304"/>
    <cellStyle name="Millares 12" xfId="305"/>
    <cellStyle name="Millares 13" xfId="306"/>
    <cellStyle name="Millares 14" xfId="307"/>
    <cellStyle name="Millares 15" xfId="308"/>
    <cellStyle name="Millares 16" xfId="309"/>
    <cellStyle name="Millares 17" xfId="310"/>
    <cellStyle name="Millares 18" xfId="311"/>
    <cellStyle name="Millares 2" xfId="3"/>
    <cellStyle name="Millares 2 2" xfId="312"/>
    <cellStyle name="Millares 2_Actas_Val_Fin_AM_Octubre_2008" xfId="313"/>
    <cellStyle name="Millares 3" xfId="314"/>
    <cellStyle name="Millares 4" xfId="315"/>
    <cellStyle name="Millares 5" xfId="316"/>
    <cellStyle name="Millares 6" xfId="317"/>
    <cellStyle name="Millares 7" xfId="318"/>
    <cellStyle name="Millares 8" xfId="319"/>
    <cellStyle name="Millares 9" xfId="320"/>
    <cellStyle name="Milliers [0]_!!!GO" xfId="321"/>
    <cellStyle name="Milliers_!!!GO" xfId="322"/>
    <cellStyle name="Missing" xfId="323"/>
    <cellStyle name="Model" xfId="324"/>
    <cellStyle name="Moeda [0]_CUSTOSGSMinfrasites" xfId="325"/>
    <cellStyle name="Moeda_CUSTOSGSMinfrasites" xfId="326"/>
    <cellStyle name="Moneda 2" xfId="488"/>
    <cellStyle name="Monétaire [0]_!!!GO" xfId="327"/>
    <cellStyle name="Monétaire_!!!GO" xfId="328"/>
    <cellStyle name="Monetario" xfId="329"/>
    <cellStyle name="Monetario0" xfId="330"/>
    <cellStyle name="Month_input" xfId="331"/>
    <cellStyle name="Name" xfId="332"/>
    <cellStyle name="NivelCol_" xfId="333"/>
    <cellStyle name="no dec" xfId="334"/>
    <cellStyle name="No-definido" xfId="335"/>
    <cellStyle name="Normal" xfId="0" builtinId="0"/>
    <cellStyle name="Normal - Style1" xfId="336"/>
    <cellStyle name="Normal 10" xfId="337"/>
    <cellStyle name="Normal 11" xfId="338"/>
    <cellStyle name="Normal 12" xfId="339"/>
    <cellStyle name="Normal 13" xfId="340"/>
    <cellStyle name="Normal 14" xfId="341"/>
    <cellStyle name="Normal 15" xfId="342"/>
    <cellStyle name="Normal 16" xfId="343"/>
    <cellStyle name="Normal 17" xfId="344"/>
    <cellStyle name="Normal 18" xfId="345"/>
    <cellStyle name="Normal 19" xfId="346"/>
    <cellStyle name="Normal 2" xfId="4"/>
    <cellStyle name="Normal 2 2" xfId="347"/>
    <cellStyle name="Normal 20" xfId="348"/>
    <cellStyle name="Normal 21" xfId="349"/>
    <cellStyle name="Normal 22" xfId="487"/>
    <cellStyle name="Normal 3" xfId="350"/>
    <cellStyle name="Normal 4" xfId="351"/>
    <cellStyle name="Normal 5" xfId="352"/>
    <cellStyle name="Normal 6" xfId="7"/>
    <cellStyle name="Normal 7" xfId="353"/>
    <cellStyle name="Normal 8" xfId="354"/>
    <cellStyle name="Normal 9" xfId="355"/>
    <cellStyle name="Normale_1511" xfId="356"/>
    <cellStyle name="Not In Use" xfId="357"/>
    <cellStyle name="Note" xfId="358"/>
    <cellStyle name="note3" xfId="359"/>
    <cellStyle name="notes" xfId="360"/>
    <cellStyle name="Number" xfId="361"/>
    <cellStyle name="Number (2dp)" xfId="362"/>
    <cellStyle name="Number_book1" xfId="363"/>
    <cellStyle name="Obsolete" xfId="364"/>
    <cellStyle name="Œ…‹æØ‚è [0.00]_!!!GO" xfId="365"/>
    <cellStyle name="Œ…‹æØ‚è_!!!GO" xfId="366"/>
    <cellStyle name="One-Decimal" xfId="367"/>
    <cellStyle name="Output" xfId="368"/>
    <cellStyle name="Output Amounts" xfId="369"/>
    <cellStyle name="per.style" xfId="370"/>
    <cellStyle name="Percent (0)" xfId="371"/>
    <cellStyle name="Percent [0]" xfId="372"/>
    <cellStyle name="Percent [00]" xfId="373"/>
    <cellStyle name="Percent [2]" xfId="374"/>
    <cellStyle name="Percent_Book1" xfId="375"/>
    <cellStyle name="Percentage" xfId="376"/>
    <cellStyle name="Percentage (2dp)" xfId="377"/>
    <cellStyle name="Percentage_book1" xfId="378"/>
    <cellStyle name="Placeholder" xfId="379"/>
    <cellStyle name="Porcentaje" xfId="380"/>
    <cellStyle name="Porcentual" xfId="5" builtinId="5"/>
    <cellStyle name="Porcentual 10" xfId="381"/>
    <cellStyle name="Porcentual 2" xfId="6"/>
    <cellStyle name="Porcentual 2 2" xfId="382"/>
    <cellStyle name="Porcentual 3" xfId="383"/>
    <cellStyle name="Porcentual 4" xfId="384"/>
    <cellStyle name="Porcentual 5" xfId="385"/>
    <cellStyle name="Porcentual 6" xfId="386"/>
    <cellStyle name="Porcentual 7" xfId="387"/>
    <cellStyle name="Porcentual 8" xfId="388"/>
    <cellStyle name="Porcentual 8 2" xfId="389"/>
    <cellStyle name="Porcentual 8 2 2" xfId="390"/>
    <cellStyle name="Porcentual 8 2 3" xfId="391"/>
    <cellStyle name="Porcentual 8 2 3 2" xfId="392"/>
    <cellStyle name="Porcentual 8 2 3 2 2" xfId="393"/>
    <cellStyle name="Porcentual 8 2 3 2 2 2" xfId="394"/>
    <cellStyle name="Porcentual 9" xfId="395"/>
    <cellStyle name="PrePop Currency (0)" xfId="396"/>
    <cellStyle name="PrePop Currency (2)" xfId="397"/>
    <cellStyle name="PrePop Units (0)" xfId="398"/>
    <cellStyle name="PrePop Units (1)" xfId="399"/>
    <cellStyle name="PrePop Units (2)" xfId="400"/>
    <cellStyle name="Pricing" xfId="401"/>
    <cellStyle name="Product Sub-Headng" xfId="402"/>
    <cellStyle name="PSChar" xfId="403"/>
    <cellStyle name="PSDate" xfId="404"/>
    <cellStyle name="PSDec" xfId="405"/>
    <cellStyle name="PSHeading" xfId="406"/>
    <cellStyle name="PSInt" xfId="407"/>
    <cellStyle name="PSSpacer" xfId="408"/>
    <cellStyle name="Punto" xfId="409"/>
    <cellStyle name="Punto0" xfId="410"/>
    <cellStyle name="Punto0 - Estilo2" xfId="411"/>
    <cellStyle name="Red Heading" xfId="412"/>
    <cellStyle name="Reference" xfId="413"/>
    <cellStyle name="Result" xfId="414"/>
    <cellStyle name="RevList" xfId="415"/>
    <cellStyle name="RM" xfId="416"/>
    <cellStyle name="ROF no" xfId="417"/>
    <cellStyle name="ROF price" xfId="418"/>
    <cellStyle name="Row and Column Total" xfId="419"/>
    <cellStyle name="Row Heading" xfId="420"/>
    <cellStyle name="Row Heading (No Wrap)" xfId="421"/>
    <cellStyle name="Row Heading_Demand Summary" xfId="422"/>
    <cellStyle name="Row label" xfId="423"/>
    <cellStyle name="Row label (indent)" xfId="424"/>
    <cellStyle name="Row label_Book1" xfId="425"/>
    <cellStyle name="Row Total" xfId="426"/>
    <cellStyle name="Section" xfId="427"/>
    <cellStyle name="Section Title" xfId="428"/>
    <cellStyle name="Section_Title" xfId="429"/>
    <cellStyle name="Separador de milhares [0]_Junio 1999" xfId="430"/>
    <cellStyle name="Separador de milhares_Anexo - Target Precios_Proseco_12-04-04" xfId="431"/>
    <cellStyle name="Sheet_description" xfId="432"/>
    <cellStyle name="Small Number" xfId="433"/>
    <cellStyle name="Small Percentage" xfId="434"/>
    <cellStyle name="Small Print" xfId="435"/>
    <cellStyle name="Source" xfId="436"/>
    <cellStyle name="Standard_IPISV7" xfId="437"/>
    <cellStyle name="StrategyDependent" xfId="438"/>
    <cellStyle name="Sub_title" xfId="439"/>
    <cellStyle name="subhead" xfId="440"/>
    <cellStyle name="Subheading" xfId="441"/>
    <cellStyle name="Sub-Section Title" xfId="442"/>
    <cellStyle name="Subsection_title" xfId="443"/>
    <cellStyle name="Subtotal" xfId="444"/>
    <cellStyle name="Sub-total row" xfId="445"/>
    <cellStyle name="SUPPR" xfId="446"/>
    <cellStyle name="Table finish row" xfId="447"/>
    <cellStyle name="Table shading" xfId="448"/>
    <cellStyle name="Table unfinish row" xfId="449"/>
    <cellStyle name="Table unshading" xfId="450"/>
    <cellStyle name="taples Plaza" xfId="451"/>
    <cellStyle name="Temp" xfId="452"/>
    <cellStyle name="Text" xfId="453"/>
    <cellStyle name="Text Indent A" xfId="454"/>
    <cellStyle name="Text Indent B" xfId="455"/>
    <cellStyle name="Text Indent C" xfId="456"/>
    <cellStyle name="Text_input" xfId="457"/>
    <cellStyle name="Title" xfId="458"/>
    <cellStyle name="Title Heading" xfId="459"/>
    <cellStyle name="Title_Capex depreciated" xfId="460"/>
    <cellStyle name="Total cell" xfId="461"/>
    <cellStyle name="Total row" xfId="462"/>
    <cellStyle name="Unhighlight" xfId="463"/>
    <cellStyle name="Unprot" xfId="464"/>
    <cellStyle name="Unprot$" xfId="465"/>
    <cellStyle name="Unprotect" xfId="466"/>
    <cellStyle name="Untotal row" xfId="467"/>
    <cellStyle name="Valuta (0)_1 new STM 16 ring" xfId="468"/>
    <cellStyle name="Valuta [0]_RESULTS" xfId="469"/>
    <cellStyle name="Valuta_1 new STM 16 ring" xfId="470"/>
    <cellStyle name="Warning Text" xfId="471"/>
    <cellStyle name="Worksheet_Title" xfId="472"/>
    <cellStyle name="WP Header" xfId="473"/>
    <cellStyle name="year_label" xfId="474"/>
    <cellStyle name="千位[0]_pldt" xfId="475"/>
    <cellStyle name="千位_pldt" xfId="476"/>
    <cellStyle name="千位分隔[0]_1" xfId="477"/>
    <cellStyle name="千位分隔_1" xfId="478"/>
    <cellStyle name="常规_1" xfId="479"/>
    <cellStyle name="桁区切り [0.00]_Calc. C-J" xfId="480"/>
    <cellStyle name="桁区切り_Calc. C-J" xfId="481"/>
    <cellStyle name="標準_BASIC (2)" xfId="482"/>
    <cellStyle name="货币[0]_1" xfId="483"/>
    <cellStyle name="货币_1" xfId="484"/>
    <cellStyle name="通貨 [0.00]_Calc. C-J" xfId="485"/>
    <cellStyle name="通貨_Calc. C-J" xfId="48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5">
    <tabColor theme="4"/>
  </sheetPr>
  <dimension ref="B3:F30"/>
  <sheetViews>
    <sheetView showGridLines="0" tabSelected="1" zoomScale="75" zoomScaleNormal="75" workbookViewId="0"/>
  </sheetViews>
  <sheetFormatPr baseColWidth="10" defaultRowHeight="15"/>
  <cols>
    <col min="1" max="1" width="6.140625" customWidth="1"/>
    <col min="2" max="2" width="16.28515625" customWidth="1"/>
    <col min="3" max="3" width="99.28515625" customWidth="1"/>
    <col min="4" max="4" width="34.140625" style="13" customWidth="1"/>
    <col min="5" max="5" width="42.42578125" customWidth="1"/>
    <col min="6" max="6" width="20.5703125" bestFit="1" customWidth="1"/>
    <col min="7" max="7" width="13.140625" bestFit="1" customWidth="1"/>
  </cols>
  <sheetData>
    <row r="3" spans="2:6" ht="32.25">
      <c r="B3" s="94" t="s">
        <v>49</v>
      </c>
    </row>
    <row r="5" spans="2:6" ht="15.75" thickBot="1"/>
    <row r="6" spans="2:6" ht="30.75" thickBot="1">
      <c r="B6" s="1"/>
      <c r="C6" s="95" t="s">
        <v>136</v>
      </c>
      <c r="D6" s="96" t="s">
        <v>129</v>
      </c>
    </row>
    <row r="7" spans="2:6">
      <c r="C7" s="97" t="s">
        <v>148</v>
      </c>
      <c r="D7" s="207">
        <f>+Inversiones!C5*12</f>
        <v>17516.418479946478</v>
      </c>
      <c r="E7" s="62"/>
    </row>
    <row r="8" spans="2:6">
      <c r="C8" s="98" t="s">
        <v>1</v>
      </c>
      <c r="D8" s="99">
        <f>OPEX!C15+OPEX!C24</f>
        <v>17917.116896477302</v>
      </c>
      <c r="E8" s="62"/>
    </row>
    <row r="9" spans="2:6" ht="15.75" thickBot="1">
      <c r="C9" s="100" t="s">
        <v>9</v>
      </c>
      <c r="D9" s="189">
        <f>OPEX!C35+OPEX!C41+OPEX!C47</f>
        <v>20531.333333333336</v>
      </c>
      <c r="E9" s="62"/>
      <c r="F9" s="62"/>
    </row>
    <row r="10" spans="2:6" ht="15.75" thickBot="1">
      <c r="C10" s="95" t="s">
        <v>147</v>
      </c>
      <c r="D10" s="190">
        <f>SUM(D7:D9)</f>
        <v>55964.868709757116</v>
      </c>
      <c r="E10" s="62"/>
      <c r="F10" s="90"/>
    </row>
    <row r="11" spans="2:6" ht="15.75" thickBot="1">
      <c r="C11" s="101" t="s">
        <v>146</v>
      </c>
      <c r="D11" s="102">
        <f>+Minutos!C29</f>
        <v>61770540.339227527</v>
      </c>
      <c r="E11" s="62"/>
      <c r="F11" s="62"/>
    </row>
    <row r="12" spans="2:6" ht="20.25" thickBot="1">
      <c r="C12" s="103" t="s">
        <v>119</v>
      </c>
      <c r="D12" s="191">
        <f t="shared" ref="D12" si="0">+D10/D11</f>
        <v>9.060122900400872E-4</v>
      </c>
    </row>
    <row r="13" spans="2:6" ht="15.75" thickBot="1">
      <c r="C13" s="9"/>
      <c r="D13" s="105"/>
    </row>
    <row r="14" spans="2:6" ht="30.75" thickBot="1">
      <c r="B14" s="1"/>
      <c r="C14" s="95" t="s">
        <v>137</v>
      </c>
      <c r="D14" s="96" t="s">
        <v>129</v>
      </c>
    </row>
    <row r="15" spans="2:6">
      <c r="C15" s="97" t="s">
        <v>148</v>
      </c>
      <c r="D15" s="106">
        <v>0</v>
      </c>
    </row>
    <row r="16" spans="2:6">
      <c r="C16" s="98" t="s">
        <v>1</v>
      </c>
      <c r="D16" s="107">
        <v>0</v>
      </c>
    </row>
    <row r="17" spans="2:5" ht="15.75" thickBot="1">
      <c r="C17" s="100" t="s">
        <v>9</v>
      </c>
      <c r="D17" s="108">
        <f>OPEX!C59</f>
        <v>5.215736015909342</v>
      </c>
      <c r="E17" s="83"/>
    </row>
    <row r="18" spans="2:5" ht="15.75" thickBot="1">
      <c r="C18" s="95" t="s">
        <v>147</v>
      </c>
      <c r="D18" s="109">
        <f>SUM(D15:D17)</f>
        <v>5.215736015909342</v>
      </c>
      <c r="E18" s="62"/>
    </row>
    <row r="19" spans="2:5" ht="15.75" thickBot="1">
      <c r="C19" s="101" t="s">
        <v>146</v>
      </c>
      <c r="D19" s="102">
        <f>+Minutos!C27+Minutos!C28</f>
        <v>4259.3833321496859</v>
      </c>
      <c r="E19" s="62"/>
    </row>
    <row r="20" spans="2:5" ht="20.25" thickBot="1">
      <c r="C20" s="103" t="s">
        <v>119</v>
      </c>
      <c r="D20" s="104">
        <f t="shared" ref="D20" si="1">+D18/D19</f>
        <v>1.2245284373775746E-3</v>
      </c>
    </row>
    <row r="21" spans="2:5">
      <c r="C21" s="9"/>
      <c r="D21" s="105"/>
    </row>
    <row r="22" spans="2:5" ht="15.75" thickBot="1">
      <c r="C22" s="9"/>
      <c r="D22" s="105"/>
    </row>
    <row r="23" spans="2:5" ht="19.5">
      <c r="C23" s="110" t="s">
        <v>124</v>
      </c>
      <c r="D23" s="192">
        <f>+D12+D20</f>
        <v>2.1305407274176619E-3</v>
      </c>
      <c r="E23" s="62"/>
    </row>
    <row r="24" spans="2:5" ht="19.5">
      <c r="C24" s="111" t="s">
        <v>125</v>
      </c>
      <c r="D24" s="193">
        <f>D23*OVERHEAD</f>
        <v>2.1305407274176621E-4</v>
      </c>
    </row>
    <row r="25" spans="2:5" ht="15.75" thickBot="1">
      <c r="C25" s="9"/>
      <c r="D25" s="105"/>
    </row>
    <row r="26" spans="2:5" ht="24" thickBot="1">
      <c r="B26" s="16"/>
      <c r="C26" s="112" t="s">
        <v>45</v>
      </c>
      <c r="D26" s="194">
        <f t="shared" ref="D26" si="2">+D23+D24</f>
        <v>2.3435948001594279E-3</v>
      </c>
    </row>
    <row r="27" spans="2:5" ht="24" thickBot="1">
      <c r="C27" s="112" t="s">
        <v>123</v>
      </c>
      <c r="D27" s="113">
        <f>+OPEX!C50</f>
        <v>0.12</v>
      </c>
    </row>
    <row r="30" spans="2:5">
      <c r="D30" s="78"/>
    </row>
  </sheetData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>
    <tabColor theme="4"/>
  </sheetPr>
  <dimension ref="B4:I70"/>
  <sheetViews>
    <sheetView showGridLines="0" zoomScale="130" zoomScaleNormal="130" workbookViewId="0"/>
  </sheetViews>
  <sheetFormatPr baseColWidth="10" defaultColWidth="50" defaultRowHeight="12"/>
  <cols>
    <col min="1" max="1" width="7.7109375" style="5" customWidth="1"/>
    <col min="2" max="2" width="54.28515625" style="5" customWidth="1"/>
    <col min="3" max="3" width="9.28515625" style="5" customWidth="1"/>
    <col min="4" max="4" width="11.42578125" style="5" customWidth="1"/>
    <col min="5" max="5" width="11.140625" style="5" customWidth="1"/>
    <col min="6" max="6" width="12" style="5" customWidth="1"/>
    <col min="7" max="7" width="24.140625" style="5" customWidth="1"/>
    <col min="8" max="251" width="11.42578125" style="5" customWidth="1"/>
    <col min="252" max="16384" width="50" style="5"/>
  </cols>
  <sheetData>
    <row r="4" spans="2:6" ht="18.75">
      <c r="B4" s="119" t="s">
        <v>80</v>
      </c>
      <c r="C4" s="119"/>
      <c r="D4" s="120"/>
      <c r="E4" s="119"/>
      <c r="F4" s="119"/>
    </row>
    <row r="5" spans="2:6">
      <c r="B5" s="114" t="s">
        <v>149</v>
      </c>
      <c r="C5" s="203">
        <f>$C$60</f>
        <v>1459.7015399955399</v>
      </c>
      <c r="D5" s="118"/>
      <c r="E5" s="118"/>
      <c r="F5" s="118"/>
    </row>
    <row r="8" spans="2:6" ht="18.75">
      <c r="B8" s="119" t="s">
        <v>66</v>
      </c>
      <c r="C8" s="119"/>
      <c r="D8" s="120"/>
      <c r="E8" s="119"/>
    </row>
    <row r="11" spans="2:6">
      <c r="B11" s="68" t="s">
        <v>81</v>
      </c>
    </row>
    <row r="13" spans="2:6">
      <c r="B13" s="66" t="s">
        <v>89</v>
      </c>
      <c r="C13" s="200">
        <f>+Minutos!C8</f>
        <v>188</v>
      </c>
    </row>
    <row r="15" spans="2:6">
      <c r="B15" s="66" t="s">
        <v>87</v>
      </c>
      <c r="C15" s="114">
        <v>16</v>
      </c>
    </row>
    <row r="16" spans="2:6">
      <c r="B16" s="66" t="s">
        <v>88</v>
      </c>
      <c r="C16" s="115">
        <v>0.8</v>
      </c>
    </row>
    <row r="17" spans="2:5">
      <c r="B17" s="66" t="s">
        <v>83</v>
      </c>
      <c r="C17" s="116">
        <f>ROUNDDOWN(C15*C16,0)</f>
        <v>12</v>
      </c>
    </row>
    <row r="18" spans="2:5">
      <c r="B18" s="66" t="s">
        <v>90</v>
      </c>
      <c r="C18" s="116">
        <f>+C17*30</f>
        <v>360</v>
      </c>
    </row>
    <row r="19" spans="2:5">
      <c r="C19" s="117"/>
    </row>
    <row r="20" spans="2:5">
      <c r="B20" s="66" t="s">
        <v>82</v>
      </c>
      <c r="C20" s="200">
        <f>ROUNDUP(C13/C18,0)</f>
        <v>1</v>
      </c>
    </row>
    <row r="21" spans="2:5">
      <c r="B21" s="66" t="s">
        <v>115</v>
      </c>
      <c r="C21" s="114">
        <v>1</v>
      </c>
    </row>
    <row r="22" spans="2:5">
      <c r="B22" s="66" t="s">
        <v>120</v>
      </c>
      <c r="C22" s="114">
        <v>3</v>
      </c>
    </row>
    <row r="25" spans="2:5">
      <c r="B25" s="70" t="s">
        <v>99</v>
      </c>
      <c r="C25" s="71"/>
      <c r="D25" s="71"/>
      <c r="E25" s="71"/>
    </row>
    <row r="26" spans="2:5">
      <c r="B26" s="72" t="s">
        <v>96</v>
      </c>
      <c r="C26" s="72" t="s">
        <v>39</v>
      </c>
      <c r="D26" s="72" t="s">
        <v>94</v>
      </c>
      <c r="E26" s="72" t="s">
        <v>95</v>
      </c>
    </row>
    <row r="27" spans="2:5">
      <c r="B27" s="73" t="s">
        <v>97</v>
      </c>
      <c r="C27" s="202">
        <f>SUM(D27:E27)</f>
        <v>188</v>
      </c>
      <c r="D27" s="201">
        <f>ROUNDUP(Minutos!D8/C20,0)</f>
        <v>94</v>
      </c>
      <c r="E27" s="201">
        <f>ROUNDUP(Minutos!E8/C20,0)</f>
        <v>94</v>
      </c>
    </row>
    <row r="28" spans="2:5">
      <c r="B28" s="73" t="s">
        <v>101</v>
      </c>
      <c r="C28" s="202">
        <f>SUM(D28:E28)</f>
        <v>236</v>
      </c>
      <c r="D28" s="201">
        <f>ROUNDUP(D27/$C$16,0)</f>
        <v>118</v>
      </c>
      <c r="E28" s="201">
        <f>ROUNDUP(E27/$C$16,0)</f>
        <v>118</v>
      </c>
    </row>
    <row r="29" spans="2:5">
      <c r="B29" s="66" t="s">
        <v>100</v>
      </c>
      <c r="C29" s="202">
        <f>SUM(D29:E29)</f>
        <v>8</v>
      </c>
      <c r="D29" s="200">
        <f>ROUNDUP(D28/30,0)</f>
        <v>4</v>
      </c>
      <c r="E29" s="200">
        <f>ROUNDUP(E28/30,0)</f>
        <v>4</v>
      </c>
    </row>
    <row r="31" spans="2:5">
      <c r="B31" s="5" t="s">
        <v>84</v>
      </c>
    </row>
    <row r="32" spans="2:5">
      <c r="B32" s="66" t="s">
        <v>86</v>
      </c>
      <c r="C32" s="114">
        <v>5</v>
      </c>
    </row>
    <row r="33" spans="2:9">
      <c r="B33" s="5" t="s">
        <v>91</v>
      </c>
      <c r="C33" s="5">
        <f>+C32*4</f>
        <v>20</v>
      </c>
    </row>
    <row r="34" spans="2:9">
      <c r="B34" s="66" t="s">
        <v>85</v>
      </c>
      <c r="C34" s="200">
        <f>ROUNDUP(C29/4,0)</f>
        <v>2</v>
      </c>
    </row>
    <row r="37" spans="2:9" ht="12.75" thickBot="1">
      <c r="B37" s="68" t="s">
        <v>113</v>
      </c>
    </row>
    <row r="38" spans="2:9" ht="24">
      <c r="B38" s="126" t="s">
        <v>103</v>
      </c>
      <c r="C38" s="126" t="s">
        <v>93</v>
      </c>
      <c r="D38" s="126" t="s">
        <v>104</v>
      </c>
      <c r="E38" s="126" t="s">
        <v>92</v>
      </c>
      <c r="F38" s="126" t="s">
        <v>114</v>
      </c>
      <c r="G38" s="126" t="s">
        <v>2</v>
      </c>
      <c r="H38" s="127" t="s">
        <v>3</v>
      </c>
      <c r="I38" s="128" t="s">
        <v>4</v>
      </c>
    </row>
    <row r="39" spans="2:9">
      <c r="B39" s="5" t="s">
        <v>102</v>
      </c>
    </row>
    <row r="40" spans="2:9">
      <c r="B40" s="66" t="s">
        <v>152</v>
      </c>
      <c r="C40" s="114">
        <v>1</v>
      </c>
      <c r="D40" s="121">
        <v>3950</v>
      </c>
      <c r="E40" s="121">
        <f>+C40*D40</f>
        <v>3950</v>
      </c>
      <c r="F40" s="203">
        <f>+E40*$C$20</f>
        <v>3950</v>
      </c>
      <c r="G40" s="122">
        <v>5</v>
      </c>
      <c r="H40" s="123">
        <f>VLOOKUP(G40,'INPUT PARAMETROS'!$C$23:$D$52,2,FALSE)</f>
        <v>0.34172805092305603</v>
      </c>
      <c r="I40" s="203">
        <f>+H40*F40</f>
        <v>1349.8258011460714</v>
      </c>
    </row>
    <row r="41" spans="2:9">
      <c r="B41" s="66" t="s">
        <v>151</v>
      </c>
      <c r="C41" s="200">
        <f>+C34</f>
        <v>2</v>
      </c>
      <c r="D41" s="121">
        <v>11500</v>
      </c>
      <c r="E41" s="203">
        <f>+C41*D41</f>
        <v>23000</v>
      </c>
      <c r="F41" s="203">
        <f t="shared" ref="F41:F50" si="0">+E41*$C$20</f>
        <v>23000</v>
      </c>
      <c r="G41" s="122">
        <v>5</v>
      </c>
      <c r="H41" s="123">
        <f>VLOOKUP(G41,'INPUT PARAMETROS'!$C$23:$D$52,2,FALSE)</f>
        <v>0.34172805092305603</v>
      </c>
      <c r="I41" s="203">
        <f t="shared" ref="I41:I50" si="1">+H41*F41</f>
        <v>7859.7451712302882</v>
      </c>
    </row>
    <row r="42" spans="2:9">
      <c r="B42" s="66" t="s">
        <v>107</v>
      </c>
      <c r="C42" s="114">
        <v>1</v>
      </c>
      <c r="D42" s="121">
        <v>1783.5</v>
      </c>
      <c r="E42" s="121">
        <f>+C42*D42</f>
        <v>1783.5</v>
      </c>
      <c r="F42" s="203">
        <f t="shared" si="0"/>
        <v>1783.5</v>
      </c>
      <c r="G42" s="122">
        <v>5</v>
      </c>
      <c r="H42" s="123">
        <f>VLOOKUP(G42,'INPUT PARAMETROS'!$C$23:$D$52,2,FALSE)</f>
        <v>0.34172805092305603</v>
      </c>
      <c r="I42" s="203">
        <f t="shared" si="1"/>
        <v>609.47197882127045</v>
      </c>
    </row>
    <row r="43" spans="2:9">
      <c r="B43" s="5" t="s">
        <v>105</v>
      </c>
      <c r="C43" s="118"/>
      <c r="D43" s="124"/>
      <c r="E43" s="124"/>
      <c r="F43" s="118"/>
      <c r="G43" s="118"/>
      <c r="H43" s="118"/>
      <c r="I43" s="118"/>
    </row>
    <row r="44" spans="2:9">
      <c r="B44" s="66" t="s">
        <v>150</v>
      </c>
      <c r="C44" s="114">
        <v>1</v>
      </c>
      <c r="D44" s="121">
        <v>800</v>
      </c>
      <c r="E44" s="121">
        <f>+C44*D44</f>
        <v>800</v>
      </c>
      <c r="F44" s="203">
        <f t="shared" si="0"/>
        <v>800</v>
      </c>
      <c r="G44" s="122">
        <v>5</v>
      </c>
      <c r="H44" s="123">
        <f>VLOOKUP(G44,'INPUT PARAMETROS'!$C$23:$D$52,2,FALSE)</f>
        <v>0.34172805092305603</v>
      </c>
      <c r="I44" s="203">
        <f t="shared" si="1"/>
        <v>273.38244073844481</v>
      </c>
    </row>
    <row r="45" spans="2:9">
      <c r="B45" s="66" t="s">
        <v>106</v>
      </c>
      <c r="C45" s="114">
        <v>1</v>
      </c>
      <c r="D45" s="121">
        <v>900</v>
      </c>
      <c r="E45" s="121">
        <f t="shared" ref="E45:E47" si="2">+C45*D45</f>
        <v>900</v>
      </c>
      <c r="F45" s="203">
        <f t="shared" si="0"/>
        <v>900</v>
      </c>
      <c r="G45" s="122">
        <v>5</v>
      </c>
      <c r="H45" s="123">
        <f>VLOOKUP(G45,'INPUT PARAMETROS'!$C$23:$D$52,2,FALSE)</f>
        <v>0.34172805092305603</v>
      </c>
      <c r="I45" s="203">
        <f t="shared" si="1"/>
        <v>307.55524583075044</v>
      </c>
    </row>
    <row r="46" spans="2:9">
      <c r="B46" s="66" t="s">
        <v>57</v>
      </c>
      <c r="C46" s="114">
        <v>1</v>
      </c>
      <c r="D46" s="121">
        <v>2300</v>
      </c>
      <c r="E46" s="121">
        <f t="shared" si="2"/>
        <v>2300</v>
      </c>
      <c r="F46" s="203">
        <f t="shared" si="0"/>
        <v>2300</v>
      </c>
      <c r="G46" s="122">
        <v>5</v>
      </c>
      <c r="H46" s="123">
        <f>VLOOKUP(G46,'INPUT PARAMETROS'!$C$23:$D$52,2,FALSE)</f>
        <v>0.34172805092305603</v>
      </c>
      <c r="I46" s="203">
        <f t="shared" si="1"/>
        <v>785.97451712302882</v>
      </c>
    </row>
    <row r="47" spans="2:9">
      <c r="B47" s="66" t="s">
        <v>58</v>
      </c>
      <c r="C47" s="114">
        <v>1</v>
      </c>
      <c r="D47" s="121">
        <v>1590</v>
      </c>
      <c r="E47" s="121">
        <f t="shared" si="2"/>
        <v>1590</v>
      </c>
      <c r="F47" s="203">
        <f t="shared" si="0"/>
        <v>1590</v>
      </c>
      <c r="G47" s="122">
        <v>5</v>
      </c>
      <c r="H47" s="123">
        <f>VLOOKUP(G47,'INPUT PARAMETROS'!$C$23:$D$52,2,FALSE)</f>
        <v>0.34172805092305603</v>
      </c>
      <c r="I47" s="203">
        <f t="shared" si="1"/>
        <v>543.3476009676591</v>
      </c>
    </row>
    <row r="48" spans="2:9">
      <c r="B48" s="66" t="s">
        <v>56</v>
      </c>
      <c r="C48" s="200">
        <f>+C28</f>
        <v>236</v>
      </c>
      <c r="D48" s="125">
        <v>25.571428571428573</v>
      </c>
      <c r="E48" s="203">
        <f>+C48*D48</f>
        <v>6034.8571428571431</v>
      </c>
      <c r="F48" s="203">
        <f t="shared" si="0"/>
        <v>6034.8571428571431</v>
      </c>
      <c r="G48" s="122">
        <v>5</v>
      </c>
      <c r="H48" s="123">
        <f>VLOOKUP(G48,'INPUT PARAMETROS'!$C$23:$D$52,2,FALSE)</f>
        <v>0.34172805092305603</v>
      </c>
      <c r="I48" s="203">
        <f t="shared" si="1"/>
        <v>2062.2799690276543</v>
      </c>
    </row>
    <row r="49" spans="2:9">
      <c r="B49" s="5" t="s">
        <v>110</v>
      </c>
      <c r="C49" s="118"/>
      <c r="D49" s="124"/>
      <c r="E49" s="124"/>
      <c r="F49" s="118"/>
      <c r="G49" s="118"/>
      <c r="H49" s="118"/>
      <c r="I49" s="118"/>
    </row>
    <row r="50" spans="2:9">
      <c r="B50" s="66" t="s">
        <v>108</v>
      </c>
      <c r="C50" s="114">
        <v>1</v>
      </c>
      <c r="D50" s="205">
        <f>IF(C29&lt;=7,Inversiones!C68,Inversiones!C69)</f>
        <v>5900</v>
      </c>
      <c r="E50" s="200">
        <f>+C50*D50</f>
        <v>5900</v>
      </c>
      <c r="F50" s="203">
        <f t="shared" si="0"/>
        <v>5900</v>
      </c>
      <c r="G50" s="122">
        <v>5</v>
      </c>
      <c r="H50" s="123">
        <f>VLOOKUP(G50,'INPUT PARAMETROS'!$C$23:$D$52,2,FALSE)</f>
        <v>0.34172805092305603</v>
      </c>
      <c r="I50" s="203">
        <f t="shared" si="1"/>
        <v>2016.1955004460306</v>
      </c>
    </row>
    <row r="52" spans="2:9" ht="12.75" thickBot="1">
      <c r="B52" s="68" t="s">
        <v>111</v>
      </c>
    </row>
    <row r="53" spans="2:9" ht="24">
      <c r="B53" s="126" t="s">
        <v>103</v>
      </c>
      <c r="C53" s="126" t="s">
        <v>93</v>
      </c>
      <c r="D53" s="126" t="s">
        <v>104</v>
      </c>
      <c r="E53" s="126" t="s">
        <v>92</v>
      </c>
      <c r="F53" s="126" t="s">
        <v>114</v>
      </c>
      <c r="G53" s="126" t="s">
        <v>2</v>
      </c>
      <c r="H53" s="127" t="s">
        <v>3</v>
      </c>
      <c r="I53" s="128" t="s">
        <v>4</v>
      </c>
    </row>
    <row r="54" spans="2:9">
      <c r="B54" s="5" t="s">
        <v>102</v>
      </c>
    </row>
    <row r="55" spans="2:9">
      <c r="B55" s="66" t="s">
        <v>112</v>
      </c>
      <c r="C55" s="66">
        <v>1</v>
      </c>
      <c r="D55" s="67">
        <v>5000</v>
      </c>
      <c r="E55" s="67">
        <f>+C55*D55</f>
        <v>5000</v>
      </c>
      <c r="F55" s="67">
        <f>+E55*$C$21</f>
        <v>5000</v>
      </c>
      <c r="G55" s="122">
        <v>5</v>
      </c>
      <c r="H55" s="123">
        <f>VLOOKUP(G55,'INPUT PARAMETROS'!$C$23:$D$52,2,FALSE)</f>
        <v>0.34172805092305603</v>
      </c>
      <c r="I55" s="67">
        <f t="shared" ref="I55" si="3">+H55*F55</f>
        <v>1708.6402546152801</v>
      </c>
    </row>
    <row r="57" spans="2:9">
      <c r="F57" s="63"/>
    </row>
    <row r="59" spans="2:9" ht="12.75">
      <c r="B59" s="129" t="s">
        <v>116</v>
      </c>
      <c r="C59" s="206">
        <f>+SUM(I40:I42,I44:I48,I50,I55)</f>
        <v>17516.418479946478</v>
      </c>
    </row>
    <row r="60" spans="2:9" ht="12.75">
      <c r="B60" s="129" t="s">
        <v>117</v>
      </c>
      <c r="C60" s="206">
        <f>+C59/12</f>
        <v>1459.7015399955399</v>
      </c>
    </row>
    <row r="63" spans="2:9">
      <c r="B63" s="114" t="s">
        <v>64</v>
      </c>
      <c r="C63" s="200">
        <f>ROUNDUP((C20+C21)/C22,0)</f>
        <v>1</v>
      </c>
    </row>
    <row r="64" spans="2:9">
      <c r="B64" s="114" t="s">
        <v>118</v>
      </c>
      <c r="C64" s="204">
        <f>+(C20+C21)/(C63*C22)</f>
        <v>0.66666666666666663</v>
      </c>
    </row>
    <row r="66" spans="2:3">
      <c r="B66" s="181" t="s">
        <v>109</v>
      </c>
      <c r="C66" s="182"/>
    </row>
    <row r="67" spans="2:3">
      <c r="B67" s="183"/>
      <c r="C67" s="183"/>
    </row>
    <row r="68" spans="2:3">
      <c r="B68" s="184" t="s">
        <v>54</v>
      </c>
      <c r="C68" s="185">
        <v>3850</v>
      </c>
    </row>
    <row r="69" spans="2:3">
      <c r="B69" s="184" t="s">
        <v>55</v>
      </c>
      <c r="C69" s="185">
        <v>5900</v>
      </c>
    </row>
    <row r="70" spans="2:3">
      <c r="B70" s="186"/>
      <c r="C70" s="18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>
    <tabColor theme="4"/>
  </sheetPr>
  <dimension ref="B1:M63"/>
  <sheetViews>
    <sheetView showGridLines="0" topLeftCell="A4" zoomScale="110" zoomScaleNormal="110" workbookViewId="0">
      <selection activeCell="C15" sqref="C15"/>
    </sheetView>
  </sheetViews>
  <sheetFormatPr baseColWidth="10" defaultRowHeight="15"/>
  <cols>
    <col min="1" max="1" width="5.5703125" customWidth="1"/>
    <col min="2" max="2" width="51.28515625" bestFit="1" customWidth="1"/>
    <col min="3" max="3" width="17.42578125" customWidth="1"/>
    <col min="5" max="5" width="33" customWidth="1"/>
    <col min="6" max="6" width="11.5703125" bestFit="1" customWidth="1"/>
    <col min="12" max="12" width="18.28515625" bestFit="1" customWidth="1"/>
    <col min="15" max="15" width="14.5703125" bestFit="1" customWidth="1"/>
  </cols>
  <sheetData>
    <row r="1" spans="2:8" ht="15.75" thickBot="1"/>
    <row r="2" spans="2:8" ht="16.5" thickBot="1">
      <c r="B2" s="15" t="s">
        <v>36</v>
      </c>
      <c r="C2" s="15"/>
      <c r="F2" s="48" t="s">
        <v>0</v>
      </c>
    </row>
    <row r="3" spans="2:8" ht="16.5" thickBot="1">
      <c r="B3" s="15"/>
      <c r="C3" s="15"/>
      <c r="F3" s="135">
        <f>+TipoCambio</f>
        <v>3.0114999999999998</v>
      </c>
      <c r="G3" s="44"/>
      <c r="H3" s="44"/>
    </row>
    <row r="4" spans="2:8">
      <c r="F4" s="44"/>
      <c r="G4" s="44"/>
      <c r="H4" s="44"/>
    </row>
    <row r="5" spans="2:8" ht="15.75" thickBot="1">
      <c r="F5" s="44"/>
      <c r="G5" s="44"/>
      <c r="H5" s="44"/>
    </row>
    <row r="6" spans="2:8" ht="27" customHeight="1" thickBot="1">
      <c r="B6" s="19" t="s">
        <v>10</v>
      </c>
      <c r="C6" s="14" t="s">
        <v>153</v>
      </c>
      <c r="D6" s="14"/>
      <c r="F6" s="46"/>
      <c r="G6" s="44"/>
      <c r="H6" s="44"/>
    </row>
    <row r="7" spans="2:8" ht="4.5" customHeight="1" thickBot="1">
      <c r="B7" s="21"/>
      <c r="C7" s="22"/>
      <c r="D7" s="23"/>
      <c r="F7" s="46"/>
      <c r="G7" s="44"/>
      <c r="H7" s="44"/>
    </row>
    <row r="8" spans="2:8">
      <c r="B8" s="17" t="s">
        <v>11</v>
      </c>
      <c r="C8" s="79"/>
      <c r="D8" s="18" t="s">
        <v>13</v>
      </c>
      <c r="F8" s="46"/>
      <c r="G8" s="44"/>
      <c r="H8" s="44"/>
    </row>
    <row r="9" spans="2:8">
      <c r="B9" s="6" t="s">
        <v>12</v>
      </c>
      <c r="C9" s="86">
        <v>2241</v>
      </c>
      <c r="D9" s="25" t="s">
        <v>14</v>
      </c>
      <c r="F9" s="46"/>
      <c r="G9" s="44"/>
      <c r="H9" s="44"/>
    </row>
    <row r="10" spans="2:8" ht="15" customHeight="1">
      <c r="B10" s="7" t="s">
        <v>15</v>
      </c>
      <c r="C10" s="87">
        <f>C11/C12</f>
        <v>13866664.264745222</v>
      </c>
      <c r="D10" s="26" t="s">
        <v>19</v>
      </c>
      <c r="F10" s="46"/>
      <c r="G10" s="44"/>
      <c r="H10" s="44"/>
    </row>
    <row r="11" spans="2:8" s="40" customFormat="1" ht="11.25" customHeight="1">
      <c r="B11" s="38" t="s">
        <v>16</v>
      </c>
      <c r="C11" s="130">
        <f>+Minutos!C29</f>
        <v>61770540.339227527</v>
      </c>
      <c r="D11" s="39" t="s">
        <v>20</v>
      </c>
      <c r="F11" s="46"/>
      <c r="G11" s="45"/>
      <c r="H11" s="45"/>
    </row>
    <row r="12" spans="2:8" s="40" customFormat="1" ht="11.25" customHeight="1">
      <c r="B12" s="41" t="s">
        <v>17</v>
      </c>
      <c r="C12" s="131">
        <f>Minutos!$C$10</f>
        <v>4.4546070460704605</v>
      </c>
      <c r="D12" s="42" t="s">
        <v>20</v>
      </c>
      <c r="E12" s="74"/>
      <c r="F12" s="46"/>
      <c r="G12" s="45"/>
      <c r="H12" s="45"/>
    </row>
    <row r="13" spans="2:8" s="40" customFormat="1" ht="19.5" customHeight="1">
      <c r="B13" s="93" t="s">
        <v>141</v>
      </c>
      <c r="C13" s="87">
        <f>C9*(C10/1000000)</f>
        <v>31075.194617294044</v>
      </c>
      <c r="D13" s="30" t="s">
        <v>14</v>
      </c>
      <c r="E13" s="82"/>
      <c r="F13" s="46"/>
      <c r="G13" s="45"/>
      <c r="H13" s="45"/>
    </row>
    <row r="14" spans="2:8" s="40" customFormat="1" ht="19.5" customHeight="1">
      <c r="B14" s="93" t="str">
        <f>+B$62</f>
        <v>% dedicación a líneas control o producto prepago</v>
      </c>
      <c r="C14" s="132">
        <f>+C62</f>
        <v>0.3</v>
      </c>
      <c r="D14" s="134"/>
      <c r="F14" s="46"/>
      <c r="G14" s="45"/>
      <c r="H14" s="45"/>
    </row>
    <row r="15" spans="2:8" ht="15" customHeight="1" thickBot="1">
      <c r="B15" s="136" t="s">
        <v>143</v>
      </c>
      <c r="C15" s="133">
        <f>C13*C14</f>
        <v>9322.5583851882129</v>
      </c>
      <c r="D15" s="28" t="s">
        <v>14</v>
      </c>
      <c r="F15" s="46"/>
      <c r="G15" s="44"/>
      <c r="H15" s="44"/>
    </row>
    <row r="16" spans="2:8" ht="4.5" customHeight="1" thickBot="1">
      <c r="B16" s="20"/>
      <c r="C16" s="80"/>
      <c r="D16" s="29"/>
      <c r="F16" s="46"/>
      <c r="G16" s="44"/>
      <c r="H16" s="44"/>
    </row>
    <row r="17" spans="2:8">
      <c r="B17" s="17" t="s">
        <v>18</v>
      </c>
      <c r="C17" s="79"/>
      <c r="D17" s="18" t="s">
        <v>13</v>
      </c>
      <c r="F17" s="46"/>
      <c r="G17" s="44"/>
      <c r="H17" s="44"/>
    </row>
    <row r="18" spans="2:8">
      <c r="B18" s="6" t="s">
        <v>12</v>
      </c>
      <c r="C18" s="89">
        <v>2066</v>
      </c>
      <c r="D18" s="25" t="s">
        <v>14</v>
      </c>
    </row>
    <row r="19" spans="2:8">
      <c r="B19" s="7" t="s">
        <v>15</v>
      </c>
      <c r="C19" s="87">
        <f t="shared" ref="C19:C21" si="0">+C10</f>
        <v>13866664.264745222</v>
      </c>
      <c r="D19" s="26" t="s">
        <v>19</v>
      </c>
    </row>
    <row r="20" spans="2:8" s="40" customFormat="1" ht="11.25" customHeight="1">
      <c r="B20" s="38" t="s">
        <v>16</v>
      </c>
      <c r="C20" s="137">
        <f t="shared" si="0"/>
        <v>61770540.339227527</v>
      </c>
      <c r="D20" s="39" t="s">
        <v>20</v>
      </c>
    </row>
    <row r="21" spans="2:8" s="40" customFormat="1" ht="11.25" customHeight="1">
      <c r="B21" s="41" t="s">
        <v>17</v>
      </c>
      <c r="C21" s="138">
        <f t="shared" si="0"/>
        <v>4.4546070460704605</v>
      </c>
      <c r="D21" s="42" t="s">
        <v>20</v>
      </c>
    </row>
    <row r="22" spans="2:8" s="40" customFormat="1" ht="16.5" customHeight="1">
      <c r="B22" s="93" t="s">
        <v>141</v>
      </c>
      <c r="C22" s="87">
        <f>C18*(C19/1000000)</f>
        <v>28648.528370963631</v>
      </c>
      <c r="D22" s="30" t="s">
        <v>14</v>
      </c>
    </row>
    <row r="23" spans="2:8" s="40" customFormat="1" ht="16.5" customHeight="1">
      <c r="B23" s="93" t="str">
        <f>+B$62</f>
        <v>% dedicación a líneas control o producto prepago</v>
      </c>
      <c r="C23" s="132">
        <f>+C62</f>
        <v>0.3</v>
      </c>
      <c r="D23" s="134"/>
    </row>
    <row r="24" spans="2:8" ht="15.75" thickBot="1">
      <c r="B24" s="136" t="s">
        <v>142</v>
      </c>
      <c r="C24" s="133">
        <f>C22*C23</f>
        <v>8594.5585112890894</v>
      </c>
      <c r="D24" s="28" t="s">
        <v>14</v>
      </c>
    </row>
    <row r="25" spans="2:8" ht="4.5" customHeight="1" thickBot="1">
      <c r="D25" s="31"/>
    </row>
    <row r="26" spans="2:8" ht="15.75" thickBot="1">
      <c r="B26" s="36" t="s">
        <v>46</v>
      </c>
      <c r="C26" s="58">
        <f>C15+C24</f>
        <v>17917.116896477302</v>
      </c>
      <c r="D26" s="59" t="s">
        <v>14</v>
      </c>
    </row>
    <row r="27" spans="2:8" s="9" customFormat="1" ht="4.5" customHeight="1">
      <c r="B27" s="56"/>
      <c r="C27" s="57"/>
      <c r="D27" s="54"/>
    </row>
    <row r="28" spans="2:8">
      <c r="C28" s="3"/>
      <c r="D28" s="55"/>
    </row>
    <row r="29" spans="2:8" ht="15.75" thickBot="1">
      <c r="D29" s="31"/>
    </row>
    <row r="30" spans="2:8" ht="27.75" customHeight="1" thickBot="1">
      <c r="B30" s="19" t="s">
        <v>21</v>
      </c>
      <c r="C30" s="14" t="s">
        <v>153</v>
      </c>
      <c r="D30" s="14"/>
    </row>
    <row r="31" spans="2:8" s="9" customFormat="1" ht="4.5" customHeight="1" thickBot="1">
      <c r="B31" s="21"/>
      <c r="C31" s="22"/>
      <c r="D31" s="23"/>
    </row>
    <row r="32" spans="2:8">
      <c r="B32" s="17" t="s">
        <v>22</v>
      </c>
      <c r="C32" s="79"/>
      <c r="D32" s="18" t="s">
        <v>13</v>
      </c>
    </row>
    <row r="33" spans="2:7">
      <c r="B33" s="93" t="s">
        <v>138</v>
      </c>
      <c r="C33" s="87">
        <v>1691.4166666666667</v>
      </c>
      <c r="D33" s="88"/>
    </row>
    <row r="34" spans="2:7">
      <c r="B34" s="93" t="s">
        <v>52</v>
      </c>
      <c r="C34" s="209">
        <f>+Minutos!$C$4</f>
        <v>8</v>
      </c>
      <c r="D34" s="88"/>
    </row>
    <row r="35" spans="2:7" ht="15.75" thickBot="1">
      <c r="B35" s="24" t="s">
        <v>145</v>
      </c>
      <c r="C35" s="210">
        <f>+(C33*C34)</f>
        <v>13531.333333333334</v>
      </c>
      <c r="D35" s="60" t="s">
        <v>14</v>
      </c>
      <c r="E35" s="62"/>
      <c r="F35" s="52"/>
      <c r="G35" s="33"/>
    </row>
    <row r="36" spans="2:7" ht="4.5" customHeight="1" thickBot="1">
      <c r="B36" s="20"/>
      <c r="C36" s="80"/>
      <c r="D36" s="29"/>
      <c r="G36" s="33"/>
    </row>
    <row r="37" spans="2:7">
      <c r="B37" s="17" t="s">
        <v>23</v>
      </c>
      <c r="C37" s="79"/>
      <c r="D37" s="18" t="s">
        <v>13</v>
      </c>
      <c r="G37" s="33"/>
    </row>
    <row r="38" spans="2:7">
      <c r="B38" s="85" t="s">
        <v>40</v>
      </c>
      <c r="C38" s="187">
        <v>1000</v>
      </c>
      <c r="D38" s="25" t="s">
        <v>14</v>
      </c>
      <c r="G38" s="33"/>
    </row>
    <row r="39" spans="2:7">
      <c r="B39" s="7" t="s">
        <v>24</v>
      </c>
      <c r="C39" s="87">
        <v>1</v>
      </c>
      <c r="D39" s="26" t="s">
        <v>26</v>
      </c>
      <c r="G39" s="33"/>
    </row>
    <row r="40" spans="2:7">
      <c r="B40" s="8" t="s">
        <v>25</v>
      </c>
      <c r="C40" s="140">
        <v>0.6</v>
      </c>
      <c r="D40" s="27" t="s">
        <v>27</v>
      </c>
      <c r="E40" s="139"/>
      <c r="G40" s="33"/>
    </row>
    <row r="41" spans="2:7" ht="15.75" thickBot="1">
      <c r="B41" s="24" t="s">
        <v>145</v>
      </c>
      <c r="C41" s="188">
        <f>C38*C39*C40</f>
        <v>600</v>
      </c>
      <c r="D41" s="32" t="s">
        <v>14</v>
      </c>
      <c r="F41" s="52"/>
      <c r="G41" s="33"/>
    </row>
    <row r="42" spans="2:7" ht="4.5" customHeight="1" thickBot="1">
      <c r="B42" s="7"/>
      <c r="C42" s="81"/>
      <c r="D42" s="30"/>
      <c r="G42" s="33"/>
    </row>
    <row r="43" spans="2:7">
      <c r="B43" s="17" t="s">
        <v>28</v>
      </c>
      <c r="C43" s="79"/>
      <c r="D43" s="18" t="s">
        <v>13</v>
      </c>
    </row>
    <row r="44" spans="2:7">
      <c r="B44" s="6" t="s">
        <v>144</v>
      </c>
      <c r="C44" s="89">
        <f>800*12</f>
        <v>9600</v>
      </c>
      <c r="D44" s="25" t="s">
        <v>14</v>
      </c>
    </row>
    <row r="45" spans="2:7">
      <c r="B45" s="92" t="s">
        <v>29</v>
      </c>
      <c r="C45" s="140">
        <f>Inversiones!$C$64</f>
        <v>0.66666666666666663</v>
      </c>
      <c r="D45" s="27" t="s">
        <v>27</v>
      </c>
    </row>
    <row r="46" spans="2:7">
      <c r="B46" s="142" t="s">
        <v>53</v>
      </c>
      <c r="C46" s="141">
        <f>Inversiones!$C$63</f>
        <v>1</v>
      </c>
      <c r="D46" s="26"/>
    </row>
    <row r="47" spans="2:7" ht="15.75" thickBot="1">
      <c r="B47" s="24" t="s">
        <v>145</v>
      </c>
      <c r="C47" s="133">
        <f>+C44*C45*C46</f>
        <v>6400</v>
      </c>
      <c r="D47" s="32" t="s">
        <v>14</v>
      </c>
      <c r="F47" s="52"/>
    </row>
    <row r="48" spans="2:7" ht="4.5" customHeight="1" thickBot="1">
      <c r="B48" s="7"/>
      <c r="C48" s="81"/>
      <c r="D48" s="30"/>
    </row>
    <row r="49" spans="2:13">
      <c r="B49" s="17" t="s">
        <v>30</v>
      </c>
      <c r="C49" s="79"/>
      <c r="D49" s="18" t="s">
        <v>13</v>
      </c>
      <c r="I49" s="2"/>
    </row>
    <row r="50" spans="2:13" ht="15.75" thickBot="1">
      <c r="B50" s="85" t="s">
        <v>31</v>
      </c>
      <c r="C50" s="143">
        <v>0.12</v>
      </c>
      <c r="D50" s="25" t="s">
        <v>27</v>
      </c>
    </row>
    <row r="51" spans="2:13" ht="15.75" thickBot="1">
      <c r="B51" s="36" t="s">
        <v>145</v>
      </c>
      <c r="C51" s="145"/>
      <c r="D51" s="37" t="s">
        <v>14</v>
      </c>
      <c r="F51" s="52"/>
      <c r="G51" s="62"/>
    </row>
    <row r="52" spans="2:13" ht="4.5" customHeight="1" thickBot="1">
      <c r="B52" s="7"/>
      <c r="C52" s="81"/>
      <c r="D52" s="30"/>
    </row>
    <row r="53" spans="2:13">
      <c r="B53" s="17" t="s">
        <v>33</v>
      </c>
      <c r="C53" s="79"/>
      <c r="D53" s="18" t="s">
        <v>13</v>
      </c>
    </row>
    <row r="54" spans="2:13">
      <c r="B54" s="85" t="s">
        <v>34</v>
      </c>
      <c r="C54" s="89">
        <v>20.348663456749129</v>
      </c>
      <c r="D54" s="25" t="s">
        <v>14</v>
      </c>
    </row>
    <row r="55" spans="2:13">
      <c r="B55" s="93" t="s">
        <v>128</v>
      </c>
      <c r="C55" s="144">
        <f>((C57*C58)/(C56))/1000</f>
        <v>0.25631835854946122</v>
      </c>
      <c r="D55" s="26" t="s">
        <v>37</v>
      </c>
    </row>
    <row r="56" spans="2:13" s="43" customFormat="1" ht="11.25" customHeight="1">
      <c r="B56" s="38" t="s">
        <v>35</v>
      </c>
      <c r="C56" s="146">
        <v>2.4074381537439815</v>
      </c>
      <c r="D56" s="39" t="s">
        <v>14</v>
      </c>
      <c r="E56"/>
    </row>
    <row r="57" spans="2:13">
      <c r="B57" s="7" t="s">
        <v>41</v>
      </c>
      <c r="C57" s="147">
        <f>+Minutos!C27+Minutos!C28</f>
        <v>4259.3833321496859</v>
      </c>
      <c r="D57" s="34" t="s">
        <v>20</v>
      </c>
      <c r="F57" s="62"/>
      <c r="L57" s="53">
        <v>0.9</v>
      </c>
      <c r="M57" t="s">
        <v>42</v>
      </c>
    </row>
    <row r="58" spans="2:13" ht="15.75" thickBot="1">
      <c r="B58" s="7" t="s">
        <v>32</v>
      </c>
      <c r="C58" s="35">
        <v>0.14487322406963801</v>
      </c>
      <c r="D58" s="34" t="s">
        <v>14</v>
      </c>
      <c r="F58" s="75"/>
      <c r="L58" s="2" t="e">
        <f>#REF!*L57</f>
        <v>#REF!</v>
      </c>
    </row>
    <row r="59" spans="2:13" ht="15.75" thickBot="1">
      <c r="B59" s="36" t="s">
        <v>145</v>
      </c>
      <c r="C59" s="77">
        <f>C54*C55</f>
        <v>5.215736015909342</v>
      </c>
      <c r="D59" s="37" t="s">
        <v>14</v>
      </c>
      <c r="F59" s="76"/>
      <c r="K59" s="4">
        <f>L59/SUM($L$59:$L$61)</f>
        <v>0.24700239808153476</v>
      </c>
      <c r="L59">
        <v>103</v>
      </c>
      <c r="M59" t="s">
        <v>43</v>
      </c>
    </row>
    <row r="60" spans="2:13" ht="4.5" customHeight="1" thickBot="1">
      <c r="B60" s="20"/>
      <c r="C60" s="80"/>
      <c r="D60" s="29"/>
      <c r="K60" s="4"/>
    </row>
    <row r="61" spans="2:13">
      <c r="B61" s="17" t="s">
        <v>47</v>
      </c>
      <c r="C61" s="79"/>
      <c r="D61" s="18" t="s">
        <v>13</v>
      </c>
      <c r="K61" s="4">
        <f>L61/SUM($L$59:$L$61)</f>
        <v>0.75299760191846521</v>
      </c>
      <c r="L61">
        <v>314</v>
      </c>
      <c r="M61" t="s">
        <v>44</v>
      </c>
    </row>
    <row r="62" spans="2:13" ht="15.75" thickBot="1">
      <c r="B62" s="92" t="s">
        <v>38</v>
      </c>
      <c r="C62" s="91">
        <v>0.3</v>
      </c>
      <c r="D62" s="27" t="s">
        <v>27</v>
      </c>
    </row>
    <row r="63" spans="2:13" ht="15.75" thickBot="1">
      <c r="B63" s="24" t="s">
        <v>145</v>
      </c>
      <c r="C63" s="77"/>
      <c r="D63" s="32" t="s">
        <v>14</v>
      </c>
      <c r="F63" s="5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3">
    <tabColor theme="4"/>
  </sheetPr>
  <dimension ref="A1:P60"/>
  <sheetViews>
    <sheetView showGridLines="0" zoomScaleNormal="100" workbookViewId="0">
      <selection activeCell="C4" sqref="C4"/>
    </sheetView>
  </sheetViews>
  <sheetFormatPr baseColWidth="10" defaultRowHeight="12.75"/>
  <cols>
    <col min="1" max="1" width="11.7109375" style="51" customWidth="1"/>
    <col min="2" max="2" width="22.42578125" style="51" customWidth="1"/>
    <col min="3" max="3" width="17.7109375" style="51" customWidth="1"/>
    <col min="4" max="4" width="12.7109375" style="51" customWidth="1"/>
    <col min="5" max="5" width="19.85546875" style="51" customWidth="1"/>
    <col min="6" max="14" width="12.7109375" style="51" customWidth="1"/>
    <col min="15" max="15" width="13.140625" style="51" bestFit="1" customWidth="1"/>
    <col min="16" max="16384" width="11.42578125" style="51"/>
  </cols>
  <sheetData>
    <row r="1" spans="2:15">
      <c r="D1" s="49"/>
    </row>
    <row r="2" spans="2:15">
      <c r="D2" s="49"/>
    </row>
    <row r="3" spans="2:15" ht="15.75">
      <c r="B3" s="50" t="s">
        <v>139</v>
      </c>
      <c r="D3" s="49"/>
    </row>
    <row r="4" spans="2:15">
      <c r="B4" s="148" t="s">
        <v>65</v>
      </c>
      <c r="C4" s="208">
        <f>C57</f>
        <v>8</v>
      </c>
      <c r="D4" s="49"/>
    </row>
    <row r="5" spans="2:15">
      <c r="D5" s="49"/>
    </row>
    <row r="6" spans="2:15">
      <c r="B6" s="69" t="s">
        <v>99</v>
      </c>
    </row>
    <row r="7" spans="2:15">
      <c r="B7" s="149" t="s">
        <v>96</v>
      </c>
      <c r="C7" s="149" t="s">
        <v>39</v>
      </c>
      <c r="D7" s="149" t="s">
        <v>94</v>
      </c>
      <c r="E7" s="149" t="s">
        <v>95</v>
      </c>
    </row>
    <row r="8" spans="2:15">
      <c r="B8" s="150" t="s">
        <v>97</v>
      </c>
      <c r="C8" s="199">
        <f>SUM(D8:E8)</f>
        <v>188</v>
      </c>
      <c r="D8" s="198">
        <f>D56</f>
        <v>94</v>
      </c>
      <c r="E8" s="198">
        <f>E56</f>
        <v>94</v>
      </c>
    </row>
    <row r="9" spans="2:15">
      <c r="B9" s="150" t="s">
        <v>79</v>
      </c>
      <c r="C9" s="199">
        <f>SUM(D9:E9)</f>
        <v>8</v>
      </c>
      <c r="D9" s="198">
        <f>D57</f>
        <v>4</v>
      </c>
      <c r="E9" s="198">
        <f>E57</f>
        <v>4</v>
      </c>
    </row>
    <row r="10" spans="2:15" ht="25.5">
      <c r="B10" s="151" t="s">
        <v>121</v>
      </c>
      <c r="C10" s="152">
        <f>C58</f>
        <v>4.4546070460704605</v>
      </c>
      <c r="D10" s="153"/>
      <c r="E10" s="153"/>
    </row>
    <row r="11" spans="2:15">
      <c r="D11" s="49"/>
    </row>
    <row r="12" spans="2:15">
      <c r="D12" s="49"/>
    </row>
    <row r="13" spans="2:15">
      <c r="D13" s="49"/>
    </row>
    <row r="14" spans="2:15">
      <c r="D14" s="49"/>
    </row>
    <row r="15" spans="2:15" ht="18.75">
      <c r="B15" s="119" t="s">
        <v>66</v>
      </c>
      <c r="C15" s="119"/>
      <c r="D15" s="120"/>
      <c r="E15" s="119"/>
      <c r="F15" s="119"/>
      <c r="G15" s="119"/>
      <c r="H15" s="119"/>
      <c r="I15" s="119"/>
      <c r="J15" s="119"/>
      <c r="K15" s="119"/>
      <c r="L15" s="119"/>
      <c r="M15" s="153"/>
      <c r="N15" s="153"/>
      <c r="O15" s="153"/>
    </row>
    <row r="16" spans="2:15">
      <c r="B16" s="153"/>
      <c r="C16" s="153"/>
      <c r="D16" s="154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</row>
    <row r="17" spans="1:16" customFormat="1" ht="1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6" customFormat="1" ht="15.75">
      <c r="B18" s="155" t="s">
        <v>140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</row>
    <row r="19" spans="1:16" customFormat="1" ht="15"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65"/>
    </row>
    <row r="20" spans="1:16" ht="15.75">
      <c r="B20" s="50" t="s">
        <v>67</v>
      </c>
      <c r="D20" s="49"/>
    </row>
    <row r="21" spans="1:16">
      <c r="D21" s="49"/>
    </row>
    <row r="22" spans="1:16">
      <c r="A22" s="153"/>
      <c r="B22" s="158" t="s">
        <v>59</v>
      </c>
      <c r="C22" s="159" t="s">
        <v>154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</row>
    <row r="23" spans="1:16" ht="25.5">
      <c r="A23" s="195"/>
      <c r="B23" s="160" t="s">
        <v>60</v>
      </c>
      <c r="C23" s="161">
        <v>5789744.7605636586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1:16" ht="25.5">
      <c r="A24" s="195"/>
      <c r="B24" s="160" t="s">
        <v>61</v>
      </c>
      <c r="C24" s="161">
        <v>19722294.446589053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</row>
    <row r="25" spans="1:16" ht="25.5">
      <c r="A25" s="195"/>
      <c r="B25" s="160" t="s">
        <v>126</v>
      </c>
      <c r="C25" s="161">
        <v>13775678.776978601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1:16" ht="25.5">
      <c r="A26" s="195"/>
      <c r="B26" s="160" t="s">
        <v>127</v>
      </c>
      <c r="C26" s="161">
        <v>22478562.971764073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</row>
    <row r="27" spans="1:16" ht="25.5">
      <c r="A27" s="195"/>
      <c r="B27" s="160" t="s">
        <v>63</v>
      </c>
      <c r="C27" s="161">
        <v>338.71666694432537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</row>
    <row r="28" spans="1:16" ht="25.5">
      <c r="A28" s="195"/>
      <c r="B28" s="160" t="s">
        <v>62</v>
      </c>
      <c r="C28" s="161">
        <v>3920.6666652053609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</row>
    <row r="29" spans="1:16">
      <c r="A29" s="153"/>
      <c r="B29" s="149" t="s">
        <v>155</v>
      </c>
      <c r="C29" s="161">
        <f>SUM(C23:C28)</f>
        <v>61770540.339227527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  <row r="30" spans="1:16"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</row>
    <row r="31" spans="1:16" ht="15.75">
      <c r="B31" s="50" t="s">
        <v>69</v>
      </c>
      <c r="D31" s="49"/>
    </row>
    <row r="32" spans="1:16">
      <c r="D32" s="49"/>
    </row>
    <row r="33" spans="2:14" ht="25.5">
      <c r="B33" s="151" t="s">
        <v>71</v>
      </c>
      <c r="C33" s="164">
        <v>7.1922274387063126E-2</v>
      </c>
      <c r="D33" s="154"/>
      <c r="E33" s="153"/>
      <c r="F33" s="153"/>
      <c r="G33" s="153"/>
    </row>
    <row r="34" spans="2:14" ht="25.5">
      <c r="B34" s="151" t="s">
        <v>98</v>
      </c>
      <c r="C34" s="197">
        <v>0.5</v>
      </c>
      <c r="D34" s="154"/>
      <c r="E34" s="153"/>
      <c r="F34" s="165"/>
      <c r="G34" s="153"/>
    </row>
    <row r="35" spans="2:14">
      <c r="B35" s="153"/>
      <c r="C35" s="153"/>
      <c r="D35" s="154"/>
      <c r="E35" s="153"/>
      <c r="F35" s="165"/>
      <c r="G35" s="153"/>
    </row>
    <row r="36" spans="2:14">
      <c r="B36" s="166"/>
      <c r="C36" s="153"/>
      <c r="D36" s="154"/>
      <c r="E36" s="153"/>
      <c r="F36" s="153"/>
      <c r="G36" s="153"/>
    </row>
    <row r="37" spans="2:14" ht="25.5">
      <c r="B37" s="151" t="s">
        <v>70</v>
      </c>
      <c r="C37" s="196">
        <v>100000</v>
      </c>
      <c r="D37" s="167"/>
      <c r="E37" s="153"/>
      <c r="F37" s="153"/>
      <c r="G37" s="153"/>
    </row>
    <row r="41" spans="2:14">
      <c r="B41" s="64" t="s">
        <v>68</v>
      </c>
      <c r="D41" s="49"/>
      <c r="E41" s="61"/>
    </row>
    <row r="42" spans="2:14">
      <c r="B42" s="153"/>
      <c r="C42" s="165"/>
      <c r="D42" s="165"/>
      <c r="F42" s="165"/>
      <c r="G42" s="165"/>
      <c r="H42" s="165"/>
      <c r="I42" s="61"/>
      <c r="J42" s="61"/>
      <c r="K42" s="61"/>
      <c r="L42" s="61"/>
      <c r="M42" s="61"/>
      <c r="N42" s="61"/>
    </row>
    <row r="43" spans="2:14">
      <c r="B43" s="166" t="s">
        <v>94</v>
      </c>
      <c r="C43" s="165"/>
      <c r="D43" s="165"/>
      <c r="E43" s="166" t="s">
        <v>95</v>
      </c>
      <c r="F43" s="165"/>
      <c r="G43" s="165"/>
      <c r="H43" s="165"/>
      <c r="I43" s="61"/>
      <c r="J43" s="61"/>
      <c r="K43" s="61"/>
      <c r="L43" s="61"/>
      <c r="M43" s="61"/>
      <c r="N43" s="61"/>
    </row>
    <row r="44" spans="2:14" ht="25.5">
      <c r="B44" s="151" t="s">
        <v>72</v>
      </c>
      <c r="C44" s="196">
        <f>+C37*(1-$C$34)</f>
        <v>50000</v>
      </c>
      <c r="D44" s="154"/>
      <c r="E44" s="151" t="s">
        <v>72</v>
      </c>
      <c r="F44" s="196">
        <f>+C37*$C$34</f>
        <v>50000</v>
      </c>
      <c r="G44" s="153"/>
      <c r="H44" s="153"/>
    </row>
    <row r="45" spans="2:14">
      <c r="B45" s="151" t="s">
        <v>73</v>
      </c>
      <c r="C45" s="164">
        <f>+$C$33</f>
        <v>7.1922274387063126E-2</v>
      </c>
      <c r="D45" s="154"/>
      <c r="E45" s="151" t="s">
        <v>73</v>
      </c>
      <c r="F45" s="164">
        <f>+$C$33</f>
        <v>7.1922274387063126E-2</v>
      </c>
      <c r="G45" s="153"/>
      <c r="H45" s="153"/>
    </row>
    <row r="46" spans="2:14" ht="25.5">
      <c r="B46" s="151" t="s">
        <v>74</v>
      </c>
      <c r="C46" s="196">
        <f>+C44*C45</f>
        <v>3596.1137193531563</v>
      </c>
      <c r="D46" s="154"/>
      <c r="E46" s="151" t="s">
        <v>74</v>
      </c>
      <c r="F46" s="196">
        <f>+F44*F45</f>
        <v>3596.1137193531563</v>
      </c>
      <c r="G46" s="153"/>
      <c r="H46" s="153"/>
    </row>
    <row r="47" spans="2:14" ht="25.5">
      <c r="B47" s="151" t="s">
        <v>75</v>
      </c>
      <c r="C47" s="196">
        <f>+C46/60</f>
        <v>59.935228655885936</v>
      </c>
      <c r="D47" s="153"/>
      <c r="E47" s="151" t="s">
        <v>75</v>
      </c>
      <c r="F47" s="196">
        <f>+F46/60</f>
        <v>59.935228655885936</v>
      </c>
      <c r="G47" s="153"/>
      <c r="H47" s="153"/>
    </row>
    <row r="48" spans="2:14">
      <c r="B48" s="151" t="s">
        <v>50</v>
      </c>
      <c r="C48" s="168">
        <v>0.01</v>
      </c>
      <c r="D48" s="153"/>
      <c r="E48" s="151" t="s">
        <v>50</v>
      </c>
      <c r="F48" s="168">
        <v>0.01</v>
      </c>
      <c r="G48" s="153"/>
      <c r="H48" s="153"/>
    </row>
    <row r="49" spans="2:8">
      <c r="B49" s="151" t="s">
        <v>76</v>
      </c>
      <c r="C49" s="198">
        <f>ROUNDUP(CIRCUITOS((C47*(1+C48)),C48)*(1+$C$59),0)</f>
        <v>94</v>
      </c>
      <c r="D49" s="153"/>
      <c r="E49" s="151" t="s">
        <v>76</v>
      </c>
      <c r="F49" s="198">
        <f>ROUNDUP(CIRCUITOS((F47*(1+F48)),F48)*(1+$C$59),0)</f>
        <v>94</v>
      </c>
      <c r="G49" s="153"/>
      <c r="H49" s="153"/>
    </row>
    <row r="50" spans="2:8">
      <c r="B50" s="151" t="s">
        <v>79</v>
      </c>
      <c r="C50" s="198">
        <f>ROUNDUP(C49/30,0)</f>
        <v>4</v>
      </c>
      <c r="D50" s="153"/>
      <c r="E50" s="151" t="s">
        <v>79</v>
      </c>
      <c r="F50" s="198">
        <f>ROUNDUP(F49/30,0)</f>
        <v>4</v>
      </c>
      <c r="G50" s="153"/>
      <c r="H50" s="153"/>
    </row>
    <row r="51" spans="2:8">
      <c r="B51" s="153"/>
      <c r="C51" s="153"/>
      <c r="D51" s="153"/>
      <c r="E51" s="153"/>
      <c r="F51" s="153"/>
      <c r="G51" s="153"/>
      <c r="H51" s="153"/>
    </row>
    <row r="52" spans="2:8">
      <c r="B52" s="166" t="s">
        <v>78</v>
      </c>
      <c r="C52" s="153"/>
      <c r="D52" s="153"/>
      <c r="E52" s="153"/>
      <c r="F52" s="153"/>
      <c r="G52" s="153"/>
      <c r="H52" s="153"/>
    </row>
    <row r="53" spans="2:8">
      <c r="B53" s="162"/>
      <c r="C53" s="163"/>
      <c r="D53" s="153"/>
      <c r="E53" s="153"/>
      <c r="F53" s="153"/>
      <c r="G53" s="153"/>
      <c r="H53" s="153"/>
    </row>
    <row r="54" spans="2:8">
      <c r="B54" s="169" t="s">
        <v>99</v>
      </c>
      <c r="C54" s="153"/>
      <c r="D54" s="153"/>
      <c r="F54" s="153"/>
      <c r="G54" s="153"/>
      <c r="H54" s="153"/>
    </row>
    <row r="55" spans="2:8">
      <c r="B55" s="149" t="s">
        <v>96</v>
      </c>
      <c r="C55" s="149" t="s">
        <v>39</v>
      </c>
      <c r="D55" s="149" t="s">
        <v>94</v>
      </c>
      <c r="E55" s="149" t="s">
        <v>95</v>
      </c>
      <c r="F55" s="153"/>
      <c r="G55" s="153"/>
      <c r="H55" s="153"/>
    </row>
    <row r="56" spans="2:8">
      <c r="B56" s="150" t="s">
        <v>97</v>
      </c>
      <c r="C56" s="199">
        <f>SUM(D56:E56)</f>
        <v>188</v>
      </c>
      <c r="D56" s="198">
        <f>+C49</f>
        <v>94</v>
      </c>
      <c r="E56" s="198">
        <f>+F49</f>
        <v>94</v>
      </c>
      <c r="F56" s="153"/>
      <c r="G56" s="153"/>
      <c r="H56" s="153"/>
    </row>
    <row r="57" spans="2:8">
      <c r="B57" s="150" t="s">
        <v>79</v>
      </c>
      <c r="C57" s="199">
        <f>SUM(D57:E57)</f>
        <v>8</v>
      </c>
      <c r="D57" s="198">
        <f>+C50</f>
        <v>4</v>
      </c>
      <c r="E57" s="198">
        <f>+F50</f>
        <v>4</v>
      </c>
      <c r="F57" s="153"/>
      <c r="G57" s="153"/>
      <c r="H57" s="153"/>
    </row>
    <row r="58" spans="2:8" ht="25.5">
      <c r="B58" s="151" t="s">
        <v>121</v>
      </c>
      <c r="C58" s="152">
        <v>4.4546070460704605</v>
      </c>
      <c r="D58" s="165"/>
      <c r="E58" s="153"/>
      <c r="F58" s="165"/>
      <c r="G58" s="153"/>
      <c r="H58" s="153"/>
    </row>
    <row r="59" spans="2:8">
      <c r="B59" s="151" t="s">
        <v>77</v>
      </c>
      <c r="C59" s="168">
        <v>0.25</v>
      </c>
      <c r="D59" s="153"/>
      <c r="E59" s="153"/>
      <c r="F59" s="153"/>
      <c r="G59" s="153"/>
      <c r="H59" s="153"/>
    </row>
    <row r="60" spans="2:8">
      <c r="B60" s="153"/>
      <c r="C60" s="153"/>
      <c r="D60" s="153"/>
      <c r="E60" s="153"/>
      <c r="F60" s="153"/>
      <c r="G60" s="153"/>
      <c r="H60" s="153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4">
    <tabColor theme="4"/>
  </sheetPr>
  <dimension ref="B3:C9"/>
  <sheetViews>
    <sheetView showGridLines="0" zoomScale="160" zoomScaleNormal="160" workbookViewId="0"/>
  </sheetViews>
  <sheetFormatPr baseColWidth="10" defaultRowHeight="15"/>
  <cols>
    <col min="2" max="2" width="28.42578125" bestFit="1" customWidth="1"/>
    <col min="3" max="3" width="16.140625" customWidth="1"/>
    <col min="4" max="4" width="48.5703125" customWidth="1"/>
  </cols>
  <sheetData>
    <row r="3" spans="2:3" ht="15.75">
      <c r="B3" s="50" t="s">
        <v>48</v>
      </c>
    </row>
    <row r="4" spans="2:3" ht="15.75" thickBot="1"/>
    <row r="5" spans="2:3">
      <c r="B5" s="10" t="s">
        <v>8</v>
      </c>
      <c r="C5" s="170">
        <v>0.1676</v>
      </c>
    </row>
    <row r="6" spans="2:3">
      <c r="B6" s="47" t="s">
        <v>5</v>
      </c>
      <c r="C6" s="171"/>
    </row>
    <row r="7" spans="2:3">
      <c r="B7" s="11" t="s">
        <v>6</v>
      </c>
      <c r="C7" s="172"/>
    </row>
    <row r="8" spans="2:3" ht="15.75" thickBot="1">
      <c r="B8" s="12" t="s">
        <v>7</v>
      </c>
      <c r="C8" s="173"/>
    </row>
    <row r="9" spans="2:3">
      <c r="C9" s="9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C5:D56"/>
  <sheetViews>
    <sheetView workbookViewId="0"/>
  </sheetViews>
  <sheetFormatPr baseColWidth="10" defaultRowHeight="15"/>
  <cols>
    <col min="3" max="3" width="19.5703125" customWidth="1"/>
    <col min="4" max="4" width="22.28515625" customWidth="1"/>
  </cols>
  <sheetData>
    <row r="5" spans="3:4" ht="18.75">
      <c r="C5" s="174" t="s">
        <v>125</v>
      </c>
      <c r="D5" s="175">
        <v>0.1</v>
      </c>
    </row>
    <row r="9" spans="3:4" ht="18.75">
      <c r="C9" s="174" t="s">
        <v>131</v>
      </c>
      <c r="D9" s="176">
        <v>3.0114999999999998</v>
      </c>
    </row>
    <row r="10" spans="3:4">
      <c r="C10" s="84" t="s">
        <v>132</v>
      </c>
    </row>
    <row r="11" spans="3:4">
      <c r="C11" s="84" t="s">
        <v>133</v>
      </c>
    </row>
    <row r="14" spans="3:4" ht="18.75">
      <c r="C14" s="174" t="s">
        <v>51</v>
      </c>
      <c r="D14" s="177">
        <v>0.19</v>
      </c>
    </row>
    <row r="15" spans="3:4">
      <c r="C15" s="84" t="s">
        <v>134</v>
      </c>
    </row>
    <row r="16" spans="3:4">
      <c r="C16" s="84" t="s">
        <v>133</v>
      </c>
    </row>
    <row r="21" spans="3:4" ht="18.75">
      <c r="C21" s="174" t="s">
        <v>135</v>
      </c>
      <c r="D21" s="9"/>
    </row>
    <row r="22" spans="3:4" ht="30">
      <c r="C22" s="178" t="s">
        <v>122</v>
      </c>
      <c r="D22" s="178" t="s">
        <v>130</v>
      </c>
    </row>
    <row r="23" spans="3:4">
      <c r="C23" s="179">
        <v>2</v>
      </c>
      <c r="D23" s="180">
        <f>1+WACC</f>
        <v>1.1676</v>
      </c>
    </row>
    <row r="24" spans="3:4">
      <c r="C24" s="179">
        <v>3</v>
      </c>
      <c r="D24" s="180">
        <f>(WACC*(1-1/(9*(1+WACC)^2)))/(1-1/(1+WACC)^2)</f>
        <v>0.57767976051341985</v>
      </c>
    </row>
    <row r="25" spans="3:4">
      <c r="C25" s="179">
        <v>4</v>
      </c>
      <c r="D25" s="180">
        <f>(WACC*(1-1/(8*(1+WACC)^3)))/(1-1/(1+WACC)^3)</f>
        <v>0.4154128912186712</v>
      </c>
    </row>
    <row r="26" spans="3:4">
      <c r="C26" s="179">
        <v>5</v>
      </c>
      <c r="D26" s="180">
        <f>(WACC*(1-27/(250*(1+WACC)^4)))/(1-1/(1+WACC)^4)</f>
        <v>0.34172805092305603</v>
      </c>
    </row>
    <row r="27" spans="3:4">
      <c r="C27" s="179">
        <v>6</v>
      </c>
      <c r="D27" s="180">
        <f>(WACC*(1-8/(81*(1+WACC)^5)))/(1-1/(1+WACC)^5)</f>
        <v>0.29669402830017472</v>
      </c>
    </row>
    <row r="28" spans="3:4">
      <c r="C28" s="179">
        <v>7</v>
      </c>
      <c r="D28" s="180">
        <f>(WACC*(1-1250/(7203*(1+WACC)^5)))/(1-1/(1+WACC)^5)</f>
        <v>0.28598339198116868</v>
      </c>
    </row>
    <row r="29" spans="3:4">
      <c r="C29" s="179">
        <v>8</v>
      </c>
      <c r="D29" s="180">
        <f>(WACC*(1-243/(1024*(1+WACC)^5)))/(1-1/(1+WACC)^5)</f>
        <v>0.2768494826131388</v>
      </c>
    </row>
    <row r="30" spans="3:4">
      <c r="C30" s="179">
        <v>9</v>
      </c>
      <c r="D30" s="180">
        <f>(WACC*(1-16807/(59049*(1+WACC)^5)))/(1-1/(1+WACC)^5)</f>
        <v>0.27007082592885695</v>
      </c>
    </row>
    <row r="31" spans="3:4">
      <c r="C31" s="179">
        <v>10</v>
      </c>
      <c r="D31" s="180">
        <f>(WACC*(1-1024/(3125*(1+WACC)^5)))/(1-1/(1+WACC)^5)</f>
        <v>0.26390400363902261</v>
      </c>
    </row>
    <row r="32" spans="3:4">
      <c r="C32" s="179">
        <v>11</v>
      </c>
      <c r="D32" s="180">
        <f>(WACC*(1-59049/(161051*(1+WACC)^5)))/(1-1/(1+WACC)^5)</f>
        <v>0.25832219997431494</v>
      </c>
    </row>
    <row r="33" spans="3:4">
      <c r="C33" s="179">
        <v>12</v>
      </c>
      <c r="D33" s="180">
        <f>(WACC*(1-3125/(7776*(1+WACC)^5)))/(1-1/(1+WACC)^5)</f>
        <v>0.25327584555138588</v>
      </c>
    </row>
    <row r="34" spans="3:4">
      <c r="C34" s="179">
        <v>13</v>
      </c>
      <c r="D34" s="180">
        <f>(WACC*(1-161051/(371293*(1+WACC)^5)))/(1-1/(1+WACC)^5)</f>
        <v>0.24870937023995307</v>
      </c>
    </row>
    <row r="35" spans="3:4">
      <c r="C35" s="179">
        <v>14</v>
      </c>
      <c r="D35" s="180">
        <f>(WACC*(1-7776/(16807*(1+WACC)^5)))/(1-1/(1+WACC)^5)</f>
        <v>0.24456866499353994</v>
      </c>
    </row>
    <row r="36" spans="3:4">
      <c r="C36" s="179">
        <v>15</v>
      </c>
      <c r="D36" s="180">
        <f>(WACC*(1-371293/(759375*(1+WACC)^5)))/(1-1/(1+WACC)^5)</f>
        <v>0.24080411863494194</v>
      </c>
    </row>
    <row r="37" spans="3:4">
      <c r="C37" s="179">
        <v>16</v>
      </c>
      <c r="D37" s="180">
        <f>(WACC*(1-16807/(32768*(1+WACC)^5)))/(1-1/(1+WACC)^5)</f>
        <v>0.23737156658083822</v>
      </c>
    </row>
    <row r="38" spans="3:4">
      <c r="C38" s="179">
        <v>17</v>
      </c>
      <c r="D38" s="180">
        <f>(WACC*(1-759375/(1419857*(1+WACC)^5)))/(1-1/(1+WACC)^5)</f>
        <v>0.23423228261989676</v>
      </c>
    </row>
    <row r="39" spans="3:4">
      <c r="C39" s="179">
        <v>18</v>
      </c>
      <c r="D39" s="180">
        <f>(WACC*(1-32768/(59049*(1+WACC)^5)))/(1-1/(1+WACC)^5)</f>
        <v>0.23135256323650136</v>
      </c>
    </row>
    <row r="40" spans="3:4">
      <c r="C40" s="179">
        <v>19</v>
      </c>
      <c r="D40" s="180">
        <f>(WACC*(1-1419857/(2476099*(1+WACC)^5)))/(1-1/(1+WACC)^5)</f>
        <v>0.22870316967943879</v>
      </c>
    </row>
    <row r="41" spans="3:4">
      <c r="C41" s="179">
        <v>20</v>
      </c>
      <c r="D41" s="180">
        <f>(WACC*(1-59049/(100000*(1+WACC)^5)))/(1-1/(1+WACC)^5)</f>
        <v>0.22625875257350092</v>
      </c>
    </row>
    <row r="42" spans="3:4">
      <c r="C42" s="179">
        <v>21</v>
      </c>
      <c r="D42" s="180">
        <f>(WACC*(1-2476099/(4084101*(1+WACC)^5)))/(1-1/(1+WACC)^5)</f>
        <v>0.2239973142563553</v>
      </c>
    </row>
    <row r="43" spans="3:4">
      <c r="C43" s="179">
        <v>22</v>
      </c>
      <c r="D43" s="180">
        <f>(WACC*(1-100000/(161051*(1+WACC)^5)))/(1-1/(1+WACC)^5)</f>
        <v>0.22189972971737712</v>
      </c>
    </row>
    <row r="44" spans="3:4">
      <c r="C44" s="179">
        <v>23</v>
      </c>
      <c r="D44" s="180">
        <f>(WACC*(1-4084101/(6436343*(1+WACC)^5)))/(1-1/(1+WACC)^5)</f>
        <v>0.21994933049068904</v>
      </c>
    </row>
    <row r="45" spans="3:4">
      <c r="C45" s="179">
        <v>24</v>
      </c>
      <c r="D45" s="180">
        <f>(WACC*(1-161051/(248832*(1+WACC)^5)))/(1-1/(1+WACC)^5)</f>
        <v>0.21813154831182949</v>
      </c>
    </row>
    <row r="46" spans="3:4">
      <c r="C46" s="179">
        <v>25</v>
      </c>
      <c r="D46" s="180">
        <f>(WACC*(1-6436343/(9765625*(1+WACC)^5)))/(1-1/(1+WACC)^5)</f>
        <v>0.21643361231312061</v>
      </c>
    </row>
    <row r="47" spans="3:4">
      <c r="C47" s="179">
        <v>26</v>
      </c>
      <c r="D47" s="180">
        <f>(WACC*(1-248832/(371293*(1+WACC)^5)))/(1-1/(1+WACC)^5)</f>
        <v>0.21484429271484715</v>
      </c>
    </row>
    <row r="48" spans="3:4">
      <c r="C48" s="179">
        <v>27</v>
      </c>
      <c r="D48" s="180">
        <f>(WACC*(1-9765625/(14348907*(1+WACC)^5)))/(1-1/(1+WACC)^5)</f>
        <v>0.21335368419090076</v>
      </c>
    </row>
    <row r="49" spans="3:4">
      <c r="C49" s="179">
        <v>28</v>
      </c>
      <c r="D49" s="180">
        <f>(WACC*(1-371293/(537824*(1+WACC)^5)))/(1-1/(1+WACC)^5)</f>
        <v>0.21195302274817021</v>
      </c>
    </row>
    <row r="50" spans="3:4">
      <c r="C50" s="179">
        <v>29</v>
      </c>
      <c r="D50" s="180">
        <f>(WACC*(1-14348907/(20511149*(1+WACC)^5)))/(1-1/(1+WACC)^5)</f>
        <v>0.21063453075816413</v>
      </c>
    </row>
    <row r="51" spans="3:4">
      <c r="C51" s="179">
        <v>30</v>
      </c>
      <c r="D51" s="180">
        <f>(WACC*(1-537824/(759375*(1+WACC)^5)))/(1-1/(1+WACC)^5)</f>
        <v>0.20939128557286868</v>
      </c>
    </row>
    <row r="52" spans="3:4">
      <c r="C52" s="179">
        <v>31</v>
      </c>
      <c r="D52" s="180">
        <f>(WACC*(1-20511149/(28629151*(1+WACC)^5)))/(1-1/(1+WACC)^5)</f>
        <v>0.20821710788125017</v>
      </c>
    </row>
    <row r="53" spans="3:4">
      <c r="C53" s="9"/>
      <c r="D53" s="9"/>
    </row>
    <row r="54" spans="3:4">
      <c r="C54" s="9"/>
      <c r="D54" s="9"/>
    </row>
    <row r="55" spans="3:4">
      <c r="C55" s="9"/>
      <c r="D55" s="9"/>
    </row>
    <row r="56" spans="3:4">
      <c r="C56" s="9"/>
      <c r="D5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RESULTADOS</vt:lpstr>
      <vt:lpstr>Inversiones</vt:lpstr>
      <vt:lpstr>OPEX</vt:lpstr>
      <vt:lpstr>Minutos</vt:lpstr>
      <vt:lpstr>Tasa de dcto</vt:lpstr>
      <vt:lpstr>INPUT PARAMETROS</vt:lpstr>
      <vt:lpstr>IGV</vt:lpstr>
      <vt:lpstr>OVERHEAD</vt:lpstr>
      <vt:lpstr>TipoCambio</vt:lpstr>
      <vt:lpstr>WACC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Maria Hugo</dc:creator>
  <cp:lastModifiedBy>rguzman</cp:lastModifiedBy>
  <cp:lastPrinted>2010-10-19T20:05:08Z</cp:lastPrinted>
  <dcterms:created xsi:type="dcterms:W3CDTF">2010-03-09T03:10:57Z</dcterms:created>
  <dcterms:modified xsi:type="dcterms:W3CDTF">2011-08-03T22:57:48Z</dcterms:modified>
</cp:coreProperties>
</file>