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05" yWindow="-120" windowWidth="12465" windowHeight="8250"/>
  </bookViews>
  <sheets>
    <sheet name="Resultados" sheetId="9" r:id="rId1"/>
    <sheet name="Costos" sheetId="23" r:id="rId2"/>
    <sheet name="Anualidades_plataforma" sheetId="12" r:id="rId3"/>
    <sheet name="INPUT-ANUALIZACION" sheetId="44" r:id="rId4"/>
    <sheet name="Gastos TPP" sheetId="17" r:id="rId5"/>
    <sheet name="Descuento del distribuidor" sheetId="18" r:id="rId6"/>
    <sheet name="Tráfico" sheetId="21" r:id="rId7"/>
    <sheet name="CAPEX y OPEX" sheetId="22" r:id="rId8"/>
    <sheet name="INPUT DIMENSIONAMIENTO PLAT" sheetId="42" r:id="rId9"/>
    <sheet name="INPUT PRECIARIO PLATAFORMA" sheetId="40" r:id="rId10"/>
    <sheet name="INPUT COSTEO" sheetId="41" r:id="rId11"/>
    <sheet name="INPUT ANEXO 5.1" sheetId="31" r:id="rId12"/>
    <sheet name="Tipos de cambio" sheetId="5" r:id="rId13"/>
  </sheets>
  <externalReferences>
    <externalReference r:id="rId14"/>
  </externalReferences>
  <definedNames>
    <definedName name="__f" hidden="1">{#N/A,#N/A,FALSE,"$170M Cash";#N/A,#N/A,FALSE,"$250M Cash";#N/A,#N/A,FALSE,"$325M Cash"}</definedName>
    <definedName name="__new11" localSheetId="8" hidden="1">{#N/A,#N/A,FALSE,"Global by BU";#N/A,#N/A,FALSE,"U.S. by BU";#N/A,#N/A,FALSE,"Canada by BU";#N/A,#N/A,FALSE,"Europe by BU";#N/A,#N/A,FALSE,"Asia by BU";#N/A,#N/A,FALSE,"Cala by BU"}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hidden="1">#REF!</definedName>
    <definedName name="_16__123Graph_ACHART_13" hidden="1">#REF!</definedName>
    <definedName name="_18__123Graph_ACHART_14" hidden="1">#REF!</definedName>
    <definedName name="_20__123Graph_BCHART_12" hidden="1">#REF!</definedName>
    <definedName name="_22__123Graph_BCHART_13" hidden="1">#REF!</definedName>
    <definedName name="_24__123Graph_BCHART_14" hidden="1">#REF!</definedName>
    <definedName name="_26__123Graph_BCHART_5" hidden="1">[1]MEX95IB!#REF!</definedName>
    <definedName name="_28__123Graph_CCHART_12" hidden="1">#REF!</definedName>
    <definedName name="_30__123Graph_CCHART_13" hidden="1">#REF!</definedName>
    <definedName name="_32__123Graph_CCHART_14" hidden="1">#REF!</definedName>
    <definedName name="_34__123Graph_XCHART_12" hidden="1">#REF!</definedName>
    <definedName name="_36__123Graph_XCHART_13" hidden="1">#REF!</definedName>
    <definedName name="_38__123Graph_XCHART_14" hidden="1">#REF!</definedName>
    <definedName name="_f" hidden="1">{#N/A,#N/A,FALSE,"$170M Cash";#N/A,#N/A,FALSE,"$250M Cash";#N/A,#N/A,FALSE,"$325M Cash"}</definedName>
    <definedName name="_xlnm._FilterDatabase" localSheetId="7" hidden="1">'CAPEX y OPEX'!$AY$20:$AY$22</definedName>
    <definedName name="_xlnm._FilterDatabase" localSheetId="11" hidden="1">'INPUT ANEXO 5.1'!$B$9:$F$9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111" hidden="1">{#N/A,#N/A,FALSE,"Global by BU";#N/A,#N/A,FALSE,"U.S. by BU";#N/A,#N/A,FALSE,"Canada by BU";#N/A,#N/A,FALSE,"Europe by BU";#N/A,#N/A,FALSE,"Asia by BU";#N/A,#N/A,FALSE,"Cala by BU"}</definedName>
    <definedName name="a" localSheetId="8" hidden="1">{"'Apr-00'!$B$4:$AD$44"}</definedName>
    <definedName name="a" hidden="1">{"'Apr-00'!$B$4:$AD$44"}</definedName>
    <definedName name="aa" localSheetId="8" hidden="1">{"'Apr-00'!$B$4:$AD$44"}</definedName>
    <definedName name="aa" hidden="1">{"'Apr-00'!$B$4:$AD$44"}</definedName>
    <definedName name="aaa" localSheetId="8" hidden="1">{"'Apr-00'!$B$4:$AD$44"}</definedName>
    <definedName name="aaa" hidden="1">{"'Apr-00'!$B$4:$AD$44"}</definedName>
    <definedName name="ale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nscount" hidden="1">1</definedName>
    <definedName name="b" hidden="1">{"'Apr-00'!$B$4:$AD$44"}</definedName>
    <definedName name="Benchmark_HHI" hidden="1">{"'Directory'!$A$72:$E$91"}</definedName>
    <definedName name="d" hidden="1">{#N/A,#N/A,FALSE,"$170M Cash";#N/A,#N/A,FALSE,"$250M Cash";#N/A,#N/A,FALSE,"$325M Cash"}</definedName>
    <definedName name="dga" localSheetId="8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HTML_CodePage" hidden="1">1252</definedName>
    <definedName name="HTML_Control" localSheetId="8" hidden="1">{"'Apr-00'!$B$4:$AD$44"}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localSheetId="8" hidden="1">{"'Edit'!$A$1:$V$2277"}</definedName>
    <definedName name="HTMLControl" hidden="1">{"'Edit'!$A$1:$V$2277"}</definedName>
    <definedName name="IGV">Resultados!$D$19</definedName>
    <definedName name="IQ_ADDIN" hidden="1">"AUTO"</definedName>
    <definedName name="jim" hidden="1">{"'Directory'!$A$72:$E$91"}</definedName>
    <definedName name="jj" localSheetId="8" hidden="1">{"'Apr-00'!$B$4:$AD$44"}</definedName>
    <definedName name="jj" hidden="1">{"'Apr-00'!$B$4:$AD$44"}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l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_PlaceofPath" hidden="1">"\\SNYCEQT0100\HOME\LZURLO\DATA\TELMEX\Models\tmx_vdf.xls"</definedName>
    <definedName name="na" localSheetId="8" hidden="1">{#N/A,#N/A,FALSE,"$170M Cash";#N/A,#N/A,FALSE,"$250M Cash";#N/A,#N/A,FALSE,"$325M Cash"}</definedName>
    <definedName name="na" hidden="1">{#N/A,#N/A,FALSE,"$170M Cash";#N/A,#N/A,FALSE,"$250M Cash";#N/A,#N/A,FALSE,"$325M Cash"}</definedName>
    <definedName name="new" localSheetId="8" hidden="1">{#N/A,#N/A,FALSE,"Global by BU";#N/A,#N/A,FALSE,"U.S. by BU";#N/A,#N/A,FALSE,"Canada by BU";#N/A,#N/A,FALSE,"Europe by BU";#N/A,#N/A,FALSE,"Asia by BU";#N/A,#N/A,FALSE,"Cala by BU"}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n" hidden="1">{#N/A,#N/A,FALSE,"$170M Cash";#N/A,#N/A,FALSE,"$250M Cash";#N/A,#N/A,FALSE,"$325M Cash"}</definedName>
    <definedName name="pppp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int" localSheetId="8" hidden="1">{#N/A,#N/A,FALSE,"$170M Cash";#N/A,#N/A,FALSE,"$250M Cash";#N/A,#N/A,FALSE,"$325M Cash"}</definedName>
    <definedName name="print" hidden="1">{#N/A,#N/A,FALSE,"$170M Cash";#N/A,#N/A,FALSE,"$250M Cash";#N/A,#N/A,FALSE,"$325M Cash"}</definedName>
    <definedName name="q" hidden="1">{"'Edit'!$A$1:$V$2277"}</definedName>
    <definedName name="qqq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{#N/A,#N/A,FALSE,"Global by BU";#N/A,#N/A,FALSE,"U.S. by BU";#N/A,#N/A,FALSE,"Canada by BU";#N/A,#N/A,FALSE,"Europe by BU";#N/A,#N/A,FALSE,"Asia by BU";#N/A,#N/A,FALSE,"Cala by BU"}</definedName>
    <definedName name="sApOFM">Resultados!$D$21</definedName>
    <definedName name="sencount" hidden="1">1</definedName>
    <definedName name="sMargCostCom">Resultados!$D$20</definedName>
    <definedName name="sVAP">Resultados!$D$17</definedName>
    <definedName name="sVU">Resultados!$D$18</definedName>
    <definedName name="t" localSheetId="8" hidden="1">{"'Apr-00'!$B$4:$AD$44"}</definedName>
    <definedName name="t" hidden="1">{"'Apr-00'!$B$4:$AD$44"}</definedName>
    <definedName name="Test" hidden="1">{"'Edit'!$A$1:$V$2277"}</definedName>
    <definedName name="vv" hidden="1">{"'Apr-00'!$B$4:$AD$44"}</definedName>
    <definedName name="w" hidden="1">{"'Apr-00'!$B$4:$AD$44"}</definedName>
    <definedName name="WACC">Resultados!$D$16</definedName>
    <definedName name="wrn.ANALISIS._.SENSIBILIDAD." localSheetId="8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forecast." localSheetId="8" hidden="1">{#N/A,#N/A,FALSE,"model"}</definedName>
    <definedName name="wrn.forecast." hidden="1">{#N/A,#N/A,FALSE,"model"}</definedName>
    <definedName name="wrn.forecast2" localSheetId="8" hidden="1">{#N/A,#N/A,FALSE,"model"}</definedName>
    <definedName name="wrn.forecast2" hidden="1">{#N/A,#N/A,FALSE,"model"}</definedName>
    <definedName name="wrn.forecastassumptions." localSheetId="8" hidden="1">{#N/A,#N/A,FALSE,"model"}</definedName>
    <definedName name="wrn.forecastassumptions." hidden="1">{#N/A,#N/A,FALSE,"model"}</definedName>
    <definedName name="wrn.forecastassumptions2" localSheetId="8" hidden="1">{#N/A,#N/A,FALSE,"model"}</definedName>
    <definedName name="wrn.forecastassumptions2" hidden="1">{#N/A,#N/A,FALSE,"model"}</definedName>
    <definedName name="wrn.forecastROIC." localSheetId="8" hidden="1">{#N/A,#N/A,FALSE,"model"}</definedName>
    <definedName name="wrn.forecastROIC." hidden="1">{#N/A,#N/A,FALSE,"model"}</definedName>
    <definedName name="wrn.forecastROIC2" localSheetId="8" hidden="1">{#N/A,#N/A,FALSE,"model"}</definedName>
    <definedName name="wrn.forecastROIC2" hidden="1">{#N/A,#N/A,FALSE,"model"}</definedName>
    <definedName name="wrn.history." localSheetId="8" hidden="1">{#N/A,#N/A,FALSE,"model"}</definedName>
    <definedName name="wrn.history." hidden="1">{#N/A,#N/A,FALSE,"model"}</definedName>
    <definedName name="wrn.history2" localSheetId="8" hidden="1">{#N/A,#N/A,FALSE,"model"}</definedName>
    <definedName name="wrn.history2" hidden="1">{#N/A,#N/A,FALSE,"model"}</definedName>
    <definedName name="wrn.histROIC." localSheetId="8" hidden="1">{#N/A,#N/A,FALSE,"model"}</definedName>
    <definedName name="wrn.histROIC." hidden="1">{#N/A,#N/A,FALSE,"model"}</definedName>
    <definedName name="wrn.histROIC2" localSheetId="8" hidden="1">{#N/A,#N/A,FALSE,"model"}</definedName>
    <definedName name="wrn.histROIC2" hidden="1">{#N/A,#N/A,FALSE,"model"}</definedName>
    <definedName name="wrn.Informe._.Mensual." localSheetId="8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8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LPU._.MG." localSheetId="8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emoria97." localSheetId="8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8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._.Report._.Package." localSheetId="8" hidden="1">{#N/A,#N/A,FALSE,"Global Wls Trend";#N/A,#N/A,FALSE,"Region Trend";#N/A,#N/A,FALSE,"PBU Trend"}</definedName>
    <definedName name="wrn.Month._.Report._.Package." hidden="1">{#N/A,#N/A,FALSE,"Global Wls Trend";#N/A,#N/A,FALSE,"Region Trend";#N/A,#N/A,FALSE,"PBU Trend"}</definedName>
    <definedName name="wrn.Monthly._.Report._.Package." localSheetId="8" hidden="1">{#N/A,#N/A,FALSE,"Global by BU";#N/A,#N/A,FALSE,"U.S. by BU";#N/A,#N/A,FALSE,"Canada by BU";#N/A,#N/A,FALSE,"Europe by BU";#N/A,#N/A,FALSE,"Asia by BU";#N/A,#N/A,FALSE,"Cala by BU"}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localSheetId="8" hidden="1">{#N/A,#N/A,FALSE,"$170M Cash";#N/A,#N/A,FALSE,"$250M Cash";#N/A,#N/A,FALSE,"$325M Cash"}</definedName>
    <definedName name="wrn.print._.all." hidden="1">{#N/A,#N/A,FALSE,"$170M Cash";#N/A,#N/A,FALSE,"$250M Cash";#N/A,#N/A,FALSE,"$325M Cash"}</definedName>
    <definedName name="wrn.TOTAL." localSheetId="8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localSheetId="8" hidden="1">{#N/A,#N/A,FALSE,"model"}</definedName>
    <definedName name="wrn1.history" hidden="1">{#N/A,#N/A,FALSE,"model"}</definedName>
    <definedName name="wrn1.print._.all." localSheetId="8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n3.histroic" localSheetId="8" hidden="1">{#N/A,#N/A,FALSE,"model"}</definedName>
    <definedName name="wrn3.histroic" hidden="1">{#N/A,#N/A,FALSE,"model"}</definedName>
    <definedName name="wrt" localSheetId="8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localSheetId="8" hidden="1">{#N/A,#N/A,FALSE,"Global by BU";#N/A,#N/A,FALSE,"U.S. by BU";#N/A,#N/A,FALSE,"Canada by BU";#N/A,#N/A,FALSE,"Europe by BU";#N/A,#N/A,FALSE,"Asia by BU";#N/A,#N/A,FALSE,"Cala by BU"}</definedName>
    <definedName name="xo" hidden="1">{#N/A,#N/A,FALSE,"Global by BU";#N/A,#N/A,FALSE,"U.S. by BU";#N/A,#N/A,FALSE,"Canada by BU";#N/A,#N/A,FALSE,"Europe by BU";#N/A,#N/A,FALSE,"Asia by BU";#N/A,#N/A,FALSE,"Cala by BU"}</definedName>
    <definedName name="xxx" localSheetId="8" hidden="1">{#N/A,#N/A,FALSE,"model"}</definedName>
    <definedName name="xxx" hidden="1">{#N/A,#N/A,FALSE,"model"}</definedName>
  </definedNames>
  <calcPr calcId="125725"/>
</workbook>
</file>

<file path=xl/calcChain.xml><?xml version="1.0" encoding="utf-8"?>
<calcChain xmlns="http://schemas.openxmlformats.org/spreadsheetml/2006/main">
  <c r="D48" i="23"/>
  <c r="Q35" i="17"/>
  <c r="F54" i="9"/>
  <c r="G19" i="42"/>
  <c r="F53" i="9"/>
  <c r="F41" i="22" l="1"/>
  <c r="C67" i="9"/>
  <c r="C13" i="31"/>
  <c r="C15" l="1"/>
  <c r="D18" i="22" s="1"/>
  <c r="U29" i="12" s="1"/>
  <c r="D35" i="41" l="1"/>
  <c r="D30"/>
  <c r="D32" s="1"/>
  <c r="D43" s="1"/>
  <c r="AV17" i="22" s="1"/>
  <c r="D25" i="41"/>
  <c r="AV18" i="22" l="1"/>
  <c r="U28" i="12"/>
  <c r="C9" i="42"/>
  <c r="J19"/>
  <c r="H19"/>
  <c r="I19"/>
  <c r="K19" l="1"/>
  <c r="D10" i="41" l="1"/>
  <c r="D17" s="1"/>
  <c r="D34" i="21" l="1"/>
  <c r="H42" i="22" l="1"/>
  <c r="H43" s="1"/>
  <c r="D40" i="23" s="1"/>
  <c r="F55" i="9" l="1"/>
  <c r="E42" i="22"/>
  <c r="E43" s="1"/>
  <c r="D39" i="23" s="1"/>
  <c r="D41" s="1"/>
  <c r="D38" i="21" l="1"/>
  <c r="D43" l="1"/>
  <c r="D42" s="1"/>
  <c r="F40" i="9" s="1"/>
  <c r="D37" i="21"/>
  <c r="F39" i="9" s="1"/>
  <c r="F41" l="1"/>
  <c r="D33" i="21"/>
  <c r="D32" l="1"/>
  <c r="F26" i="17" l="1"/>
  <c r="O26"/>
  <c r="K26"/>
  <c r="G26"/>
  <c r="M26"/>
  <c r="E26"/>
  <c r="J26"/>
  <c r="P26"/>
  <c r="L26"/>
  <c r="H26"/>
  <c r="I26"/>
  <c r="N26"/>
  <c r="M36"/>
  <c r="F36"/>
  <c r="O36"/>
  <c r="K36"/>
  <c r="G36"/>
  <c r="I36"/>
  <c r="J36"/>
  <c r="P36"/>
  <c r="L36"/>
  <c r="H36"/>
  <c r="E36"/>
  <c r="N36"/>
  <c r="O27"/>
  <c r="K27"/>
  <c r="G27"/>
  <c r="I27"/>
  <c r="N27"/>
  <c r="F27"/>
  <c r="P27"/>
  <c r="L27"/>
  <c r="H27"/>
  <c r="M27"/>
  <c r="E27"/>
  <c r="J27"/>
  <c r="G18" i="42" l="1"/>
  <c r="B35" i="44"/>
  <c r="B33"/>
  <c r="B31"/>
  <c r="B29"/>
  <c r="B27"/>
  <c r="B25"/>
  <c r="B23"/>
  <c r="B21"/>
  <c r="B19"/>
  <c r="B17"/>
  <c r="B15"/>
  <c r="B13"/>
  <c r="B11"/>
  <c r="B9"/>
  <c r="B7"/>
  <c r="B34"/>
  <c r="B32"/>
  <c r="B30"/>
  <c r="B28"/>
  <c r="B26"/>
  <c r="B24"/>
  <c r="B22"/>
  <c r="B20"/>
  <c r="B18"/>
  <c r="B16"/>
  <c r="B14"/>
  <c r="B12"/>
  <c r="B10"/>
  <c r="B8"/>
  <c r="B6"/>
  <c r="M34" i="17"/>
  <c r="M39" s="1"/>
  <c r="Q24"/>
  <c r="P34"/>
  <c r="P39" s="1"/>
  <c r="Q33"/>
  <c r="L25"/>
  <c r="L30" s="1"/>
  <c r="Q38"/>
  <c r="R38" s="1"/>
  <c r="H34"/>
  <c r="H39" s="1"/>
  <c r="E34"/>
  <c r="E39" s="1"/>
  <c r="O34"/>
  <c r="O39" s="1"/>
  <c r="M25"/>
  <c r="M30" s="1"/>
  <c r="F25"/>
  <c r="F30" s="1"/>
  <c r="Q29"/>
  <c r="R29" s="1"/>
  <c r="Q28"/>
  <c r="I34"/>
  <c r="I39" s="1"/>
  <c r="J34"/>
  <c r="J39" s="1"/>
  <c r="K34"/>
  <c r="K39" s="1"/>
  <c r="H25"/>
  <c r="H30" s="1"/>
  <c r="E25"/>
  <c r="E30" s="1"/>
  <c r="O25"/>
  <c r="O30" s="1"/>
  <c r="N34"/>
  <c r="N39" s="1"/>
  <c r="G34"/>
  <c r="G39" s="1"/>
  <c r="I25"/>
  <c r="I30" s="1"/>
  <c r="J25"/>
  <c r="J30" s="1"/>
  <c r="K25"/>
  <c r="K30" s="1"/>
  <c r="Q37"/>
  <c r="F34"/>
  <c r="F39" s="1"/>
  <c r="L34"/>
  <c r="L39" s="1"/>
  <c r="N25"/>
  <c r="N30" s="1"/>
  <c r="P25"/>
  <c r="P30" s="1"/>
  <c r="G25"/>
  <c r="G30" s="1"/>
  <c r="M22" i="23"/>
  <c r="P22" s="1"/>
  <c r="P21"/>
  <c r="O21"/>
  <c r="R36" i="17"/>
  <c r="R27"/>
  <c r="J18" i="42" l="1"/>
  <c r="H18"/>
  <c r="V27" i="12"/>
  <c r="V29"/>
  <c r="W29" s="1"/>
  <c r="D22" i="23" s="1"/>
  <c r="V28" i="12"/>
  <c r="W28" s="1"/>
  <c r="D25" i="23" s="1"/>
  <c r="D26" s="1"/>
  <c r="M23"/>
  <c r="O23" s="1"/>
  <c r="O22"/>
  <c r="I18" i="42"/>
  <c r="Q34" i="17"/>
  <c r="R34" s="1"/>
  <c r="Q25"/>
  <c r="R25" s="1"/>
  <c r="R24"/>
  <c r="R26"/>
  <c r="R28"/>
  <c r="R33"/>
  <c r="R35"/>
  <c r="R37"/>
  <c r="K18" i="42" l="1"/>
  <c r="K20" s="1"/>
  <c r="P23" i="23"/>
  <c r="M24"/>
  <c r="P24" s="1"/>
  <c r="Q39" i="17"/>
  <c r="R39" s="1"/>
  <c r="M25" i="23" l="1"/>
  <c r="P25" s="1"/>
  <c r="O24"/>
  <c r="O25"/>
  <c r="Q30" i="17"/>
  <c r="R30" s="1"/>
  <c r="D55" i="23" s="1"/>
  <c r="D13" i="41"/>
  <c r="D56" i="23"/>
  <c r="D59" l="1"/>
  <c r="F49" i="9" s="1"/>
  <c r="F50" s="1"/>
  <c r="F57" s="1"/>
  <c r="D14" i="41"/>
  <c r="D18" s="1"/>
  <c r="D19" s="1"/>
  <c r="D26" l="1"/>
  <c r="D27" s="1"/>
  <c r="D42" s="1"/>
  <c r="D36"/>
  <c r="D17" i="22" l="1"/>
  <c r="D37" i="41"/>
  <c r="D44" s="1"/>
  <c r="D29" i="22" s="1"/>
  <c r="D30" l="1"/>
  <c r="D36" i="23"/>
  <c r="D37" s="1"/>
  <c r="D50" s="1"/>
  <c r="F35" i="9" s="1"/>
  <c r="D19" i="22"/>
  <c r="U27" i="12"/>
  <c r="U30" s="1"/>
  <c r="W27" l="1"/>
  <c r="W30" s="1"/>
  <c r="D21" i="23" l="1"/>
  <c r="D23" s="1"/>
  <c r="N24"/>
  <c r="N22" l="1"/>
  <c r="N21"/>
  <c r="N23"/>
  <c r="N25"/>
  <c r="D30" l="1"/>
  <c r="F34" i="9" s="1"/>
  <c r="F36" s="1"/>
  <c r="F43" s="1"/>
  <c r="F59" s="1"/>
  <c r="F61" s="1"/>
  <c r="F63" s="1"/>
  <c r="C29" s="1"/>
</calcChain>
</file>

<file path=xl/sharedStrings.xml><?xml version="1.0" encoding="utf-8"?>
<sst xmlns="http://schemas.openxmlformats.org/spreadsheetml/2006/main" count="293" uniqueCount="185">
  <si>
    <t>Tipo de cambio USD/EUR</t>
  </si>
  <si>
    <t>Tipo de cambio USD/PEN</t>
  </si>
  <si>
    <t>Average</t>
  </si>
  <si>
    <t>WACC</t>
  </si>
  <si>
    <t>Costo de la Plataforma Pre-pago por minuto de tráfico</t>
  </si>
  <si>
    <t>USD/minuto</t>
  </si>
  <si>
    <t>Total costes</t>
  </si>
  <si>
    <t>TOTAL</t>
  </si>
  <si>
    <t>Supuestos</t>
  </si>
  <si>
    <t>Source: http://www.oanda.com</t>
  </si>
  <si>
    <t>Proyecto</t>
  </si>
  <si>
    <t>Total</t>
  </si>
  <si>
    <t>Publicidad</t>
  </si>
  <si>
    <t>Variación anual de precios</t>
  </si>
  <si>
    <t>Vida útil de los activos (años)</t>
  </si>
  <si>
    <t>CAPEX por año</t>
  </si>
  <si>
    <t>Valor bruto en libros (apertura) - precios históricos</t>
  </si>
  <si>
    <t>Valor bruto en libros (cierre) - precios históricos</t>
  </si>
  <si>
    <t>Costos asociados a tarjetas</t>
  </si>
  <si>
    <t>(en miles de soles)</t>
  </si>
  <si>
    <t>Período: Enero-Diciembre  2009</t>
  </si>
  <si>
    <t>Tarjetas</t>
  </si>
  <si>
    <t>Total Anual</t>
  </si>
  <si>
    <t>Confección de Tarjetas</t>
  </si>
  <si>
    <t>Gestión de Venta</t>
  </si>
  <si>
    <t>Personal</t>
  </si>
  <si>
    <t>Administración Tarjetas-Centros de Cobro</t>
  </si>
  <si>
    <t>Servicio de Custodia</t>
  </si>
  <si>
    <t>Transporte</t>
  </si>
  <si>
    <t>Tarjeta 147</t>
  </si>
  <si>
    <t>Tarjeta Hola Perú</t>
  </si>
  <si>
    <t>Costos asociados a tarjetas, por tipo de tarjeta</t>
  </si>
  <si>
    <t>Facturación de tarjetas (en soles)</t>
  </si>
  <si>
    <t>Total a Facturar</t>
  </si>
  <si>
    <t>Facturación de tarjetas, por tipo de tarjeta</t>
  </si>
  <si>
    <t>Tráfico Local</t>
  </si>
  <si>
    <t>Tráfico LDN</t>
  </si>
  <si>
    <t>Tráfico LDI</t>
  </si>
  <si>
    <t>Gastos de publicidad por área en el 2009</t>
  </si>
  <si>
    <t>Gastos de atención al cliente</t>
  </si>
  <si>
    <t>Tarjeta</t>
  </si>
  <si>
    <t>Descuentos en %</t>
  </si>
  <si>
    <t>Descuento</t>
  </si>
  <si>
    <t>Costes Tarjetas Prepago</t>
  </si>
  <si>
    <t>CAPEX</t>
  </si>
  <si>
    <t>OPEX</t>
  </si>
  <si>
    <t>IGV</t>
  </si>
  <si>
    <t>Coste de atención al cliente (sin IGV)</t>
  </si>
  <si>
    <t>ÍNDICES DE PRECIOS</t>
  </si>
  <si>
    <t>Valor bruto de reposición (media)</t>
  </si>
  <si>
    <t>Costo de capital anual (USD)</t>
  </si>
  <si>
    <t>Total anual USD</t>
  </si>
  <si>
    <t>Total 2009</t>
  </si>
  <si>
    <t>Parte fija</t>
  </si>
  <si>
    <t>Parte variable</t>
  </si>
  <si>
    <t>Media</t>
  </si>
  <si>
    <t>Enlaces</t>
  </si>
  <si>
    <t>Velocidades</t>
  </si>
  <si>
    <t>Hasta E1</t>
  </si>
  <si>
    <t>Tarifas para circuitos arrendados de 2048Kbps=E1</t>
  </si>
  <si>
    <t>Tarifa efectiva mensual para circuitos LOCALES LIMA:</t>
  </si>
  <si>
    <t>Tarifa efectiva mensual para circuitos LOCALES PROVINCIAS</t>
  </si>
  <si>
    <t>E1s</t>
  </si>
  <si>
    <t>Enlaces HP</t>
  </si>
  <si>
    <t>Cantidad</t>
  </si>
  <si>
    <t>Unidad</t>
  </si>
  <si>
    <t>E1 equivalentes</t>
  </si>
  <si>
    <t>E1</t>
  </si>
  <si>
    <t>Enlaces 147 y Plan Control Larga Distancia</t>
  </si>
  <si>
    <t>Número de enlaces</t>
  </si>
  <si>
    <t>Coste tarjetas 147</t>
  </si>
  <si>
    <t>Coste tarjetas Hola Perú</t>
  </si>
  <si>
    <t>Total enlaces</t>
  </si>
  <si>
    <t>Costo anual (USD)</t>
  </si>
  <si>
    <t>TOTAL OPEX</t>
  </si>
  <si>
    <t>Costo por consumo de energía eléctrica red inteligente</t>
  </si>
  <si>
    <t>Costo energía eléctrica red inteligente</t>
  </si>
  <si>
    <t>Reparación &amp; Mant de la RI/NAP</t>
  </si>
  <si>
    <t>Varios - total</t>
  </si>
  <si>
    <t>NAP Sistemas</t>
  </si>
  <si>
    <t>Otros</t>
  </si>
  <si>
    <t>Total otros</t>
  </si>
  <si>
    <t>CAPEX sistemas tarjetas</t>
  </si>
  <si>
    <t>Plataformas</t>
  </si>
  <si>
    <t>TOTAL CAPEX</t>
  </si>
  <si>
    <t>Inversión en Equipos de Soporte como % de la Inversión en Red</t>
  </si>
  <si>
    <t>Aportación a OSIPTEL, FITEL y MTC</t>
  </si>
  <si>
    <t>SUMA TOTAL DE CAPEX CONSIDERADA</t>
  </si>
  <si>
    <t>ANUALIDADES PLATAFORMA</t>
  </si>
  <si>
    <t>ANUALIDADES SISTEMAS</t>
  </si>
  <si>
    <t>ANUALIDADES TARJETAS</t>
  </si>
  <si>
    <t>Anualidad</t>
  </si>
  <si>
    <t>ANUALIDADES SISTEMAS TARJETAS</t>
  </si>
  <si>
    <t>Margen por costes comunes</t>
  </si>
  <si>
    <t>Suscripción mensual por un año (USD sin IGV)</t>
  </si>
  <si>
    <t>Morosidad</t>
  </si>
  <si>
    <t>FUENTE: OPERADOR</t>
  </si>
  <si>
    <t>CAPACIDAD</t>
  </si>
  <si>
    <t>CANTIDAD</t>
  </si>
  <si>
    <t>SUB TOTAL</t>
  </si>
  <si>
    <t>TARJETAS</t>
  </si>
  <si>
    <t>TRAFICO PARA MODELO DE COSTOS</t>
  </si>
  <si>
    <t>Porcentaje de Otros Trafico vs Tarjeta 147</t>
  </si>
  <si>
    <t>Porcentaje de Otros Trafico vs Tarjeta HP</t>
  </si>
  <si>
    <t>TRAFICO RED INTELIGENTE HP</t>
  </si>
  <si>
    <t>COSTOS</t>
  </si>
  <si>
    <t>TRAFICOS</t>
  </si>
  <si>
    <t>LRIC</t>
  </si>
  <si>
    <t>PLATAFORMA NAP 147</t>
  </si>
  <si>
    <t>RED INTELIGENTE HP</t>
  </si>
  <si>
    <t>OVERHEAD</t>
  </si>
  <si>
    <t>CONCEPTO</t>
  </si>
  <si>
    <t>PLATAFORMA 147</t>
  </si>
  <si>
    <t>PLATAFORMA</t>
  </si>
  <si>
    <t>TRAFICO NAP 147</t>
  </si>
  <si>
    <t>OTROS SERVICIOS</t>
  </si>
  <si>
    <t>TRAFICO PLATAFORMAS DE PAGO</t>
  </si>
  <si>
    <t>PLATAFORMAS</t>
  </si>
  <si>
    <t>INVERSIONES EN PLATAFORMAS DE PAGO 1996-2003</t>
  </si>
  <si>
    <t>COSTO</t>
  </si>
  <si>
    <t>EN FUNCION AL NUMERO DE PLATAFORMAS</t>
  </si>
  <si>
    <t>CONSTANTE</t>
  </si>
  <si>
    <t>opex red y sistemas</t>
  </si>
  <si>
    <t>DEMANDA</t>
  </si>
  <si>
    <t>DEMANDA DIMENSIONAR</t>
  </si>
  <si>
    <t>TRAFICO(HCA)</t>
  </si>
  <si>
    <t>DIMENSIONAMIENTO DE CAPACIDAD</t>
  </si>
  <si>
    <t>NUMERO DE PLATAFORMAS</t>
  </si>
  <si>
    <t>PRECIO UNITARIO</t>
  </si>
  <si>
    <t>INVERSION PLATAFORMA</t>
  </si>
  <si>
    <t>DURACION MEDIA DE LLAMADAS</t>
  </si>
  <si>
    <t>Mensajes inicio</t>
  </si>
  <si>
    <t>unidad</t>
  </si>
  <si>
    <t>mensajes durante</t>
  </si>
  <si>
    <t>mensajes final</t>
  </si>
  <si>
    <t>% TRAFICO VOZ EN HORA PICO</t>
  </si>
  <si>
    <t>evento</t>
  </si>
  <si>
    <t>mensaje/min</t>
  </si>
  <si>
    <t>CONSULTA DE SALDOS POR HORA</t>
  </si>
  <si>
    <t>SERVICIO</t>
  </si>
  <si>
    <t>HORA CARGADA</t>
  </si>
  <si>
    <t>MINUTOS DE VOZ</t>
  </si>
  <si>
    <t>LLAMADAS DE VOZ</t>
  </si>
  <si>
    <t>INVERSION</t>
  </si>
  <si>
    <t>CONSULTAS</t>
  </si>
  <si>
    <t>ALQUILER MENSUAL DE CKTOS</t>
  </si>
  <si>
    <t>ALQUILER ANUAL DE CKTOS</t>
  </si>
  <si>
    <t>CUADRO DE REFERENCIA</t>
  </si>
  <si>
    <t>TARJETAS TOTAL</t>
  </si>
  <si>
    <t>TARJETAS DIMENSIONAR</t>
  </si>
  <si>
    <t>INVERSIONES red</t>
  </si>
  <si>
    <t>INVERSIONES sistemas</t>
  </si>
  <si>
    <t>INVERSION RED</t>
  </si>
  <si>
    <t>INVERSION SISTEMAS</t>
  </si>
  <si>
    <t>Años</t>
  </si>
  <si>
    <t>INVERSION PARA AMBAS PLATAFORMAS (US$ MILES)</t>
  </si>
  <si>
    <t>TOTAL INVERSIONES AL 2003 (US$ MILES)</t>
  </si>
  <si>
    <t>FACTOR DE ANUALIDAD</t>
  </si>
  <si>
    <t>INVERSION EQUIPOS IVRS ADICIONALES</t>
  </si>
  <si>
    <t>OPEX PLATAFORMA Y SISTEMAS</t>
  </si>
  <si>
    <t>OPEX RED Y SISTEMAS</t>
  </si>
  <si>
    <t>INVERSIONES</t>
  </si>
  <si>
    <t>INVERSIONES SISTEMAS</t>
  </si>
  <si>
    <t>COMPONENTE PLATAFORMA</t>
  </si>
  <si>
    <t>PLATAFORMA HOLA PERU</t>
  </si>
  <si>
    <t>COMPONENTE</t>
  </si>
  <si>
    <t>COMPONENTE TARJETAS</t>
  </si>
  <si>
    <t>COMPONENTE FIJO</t>
  </si>
  <si>
    <t>Factor de Anualizacion y Depreciacion</t>
  </si>
  <si>
    <t>HCAs</t>
  </si>
  <si>
    <t>REGISTROS DE BASE DE DATOS</t>
  </si>
  <si>
    <t>SEGÚN REGISTROS DE BASE DE DATOS</t>
  </si>
  <si>
    <t>SEGÚN  TRAFICO (HCA)</t>
  </si>
  <si>
    <t>INVERSION Y OPEX</t>
  </si>
  <si>
    <t>RESUMEN</t>
  </si>
  <si>
    <t>PRECIARIO PLATAFORMA DE PAGO RED INTELIGENTE</t>
  </si>
  <si>
    <t>INVERSION AJUSTADA POR INDICE DE PRECIOS (US$ MILES)</t>
  </si>
  <si>
    <t>PROMEDIO PONDERADO (MINUTOS)</t>
  </si>
  <si>
    <t>PARAMETROS DE CALCULO</t>
  </si>
  <si>
    <t>Mensajes</t>
  </si>
  <si>
    <t>CALCULO HCAs</t>
  </si>
  <si>
    <t>REGISTROS (TARJETAS)</t>
  </si>
  <si>
    <t>FACTOR DE DEMANDA</t>
  </si>
  <si>
    <t>FACTOR DE AJUSTE POR INDICE DE PRECIOS</t>
  </si>
  <si>
    <t>RED INTELIGENTE (INVERSIONES EN MAQUINAS DE ANUNCIO)</t>
  </si>
</sst>
</file>

<file path=xl/styles.xml><?xml version="1.0" encoding="utf-8"?>
<styleSheet xmlns="http://schemas.openxmlformats.org/spreadsheetml/2006/main">
  <numFmts count="87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0.0000"/>
    <numFmt numFmtId="170" formatCode="#,##0.0000"/>
    <numFmt numFmtId="171" formatCode="_(* #,##0_);_(* \(#,##0\);_(* &quot;-&quot;??_);_(@_)"/>
    <numFmt numFmtId="172" formatCode="0000"/>
    <numFmt numFmtId="173" formatCode="000000"/>
    <numFmt numFmtId="174" formatCode="#,##0.0_);\(#,##0.0\)"/>
    <numFmt numFmtId="175" formatCode="_(* #,##0.0000_);_(* \(#,##0.0000\);_(* &quot;-&quot;??_);_(@_)"/>
    <numFmt numFmtId="176" formatCode="_(&quot;$&quot;* #,##0.00_);_(&quot;$&quot;* \(#,##0.00\);_(&quot;$&quot;* &quot;-&quot;??_);_(@_)"/>
    <numFmt numFmtId="177" formatCode="0.0%;\(0.0%\)"/>
    <numFmt numFmtId="178" formatCode="#,##0.00_);[Red]\-#,##0.00_);0.00_);@_)"/>
    <numFmt numFmtId="179" formatCode="#,##0;;"/>
    <numFmt numFmtId="180" formatCode="* _(#,##0.00_);[Red]* \(#,##0.00\);* _(&quot;-&quot;?_);@_)"/>
    <numFmt numFmtId="181" formatCode="_(&quot;$&quot;* #,##0_);_(&quot;$&quot;* \(#,##0\);_(&quot;$&quot;* &quot;-&quot;_);_(@_)"/>
    <numFmt numFmtId="182" formatCode="\$\ * _(#,##0_);[Red]\$\ * \(#,##0\);\$\ * _(&quot;-&quot;?_);@_)"/>
    <numFmt numFmtId="183" formatCode="\$\ * _(#,##0.00_);[Red]\$\ * \(#,##0.00\);\$\ * _(&quot;-&quot;?_);@_)"/>
    <numFmt numFmtId="184" formatCode="[$EUR]\ * _(#,##0_);[Red][$EUR]\ * \(#,##0\);[$EUR]\ * _(&quot;-&quot;?_);@_)"/>
    <numFmt numFmtId="185" formatCode="[$EUR]\ * _(#,##0.00_);[Red][$EUR]\ * \(#,##0.00\);[$EUR]\ * _(&quot;-&quot;?_);@_)"/>
    <numFmt numFmtId="186" formatCode="\€\ * _(#,##0_);[Red]\€\ * \(#,##0\);\€\ * _(&quot;-&quot;?_);@_)"/>
    <numFmt numFmtId="187" formatCode="\€\ * _(#,##0.00_);[Red]\€\ * \(#,##0.00\);\€\ * _(&quot;-&quot;?_);@_)"/>
    <numFmt numFmtId="188" formatCode="[$GBP]\ * _(#,##0_);[Red][$GBP]\ * \(#,##0\);[$GBP]\ * _(&quot;-&quot;?_);@_)"/>
    <numFmt numFmtId="189" formatCode="[$GBP]\ * _(#,##0.00_);[Red][$GBP]\ * \(#,##0.00\);[$GBP]\ * _(&quot;-&quot;?_);@_)"/>
    <numFmt numFmtId="190" formatCode="\£\ * _(#,##0_);[Red]\£\ * \(#,##0\);\£\ * _(&quot;-&quot;?_);@_)"/>
    <numFmt numFmtId="191" formatCode="\£\ * _(#,##0.00_);[Red]\£\ * \(#,##0.00\);\£\ * _(&quot;-&quot;?_);@_)"/>
    <numFmt numFmtId="192" formatCode="[$USD]\ * _(#,##0_);[Red][$USD]\ * \(#,##0\);[$USD]\ * _(&quot;-&quot;?_);@_)"/>
    <numFmt numFmtId="193" formatCode="[$USD]\ * _(#,##0.00_);[Red][$USD]\ * \(#,##0.00\);[$USD]\ * _(&quot;-&quot;?_);@_)"/>
    <numFmt numFmtId="194" formatCode="&quot;$&quot;#,##0\ ;\(&quot;$&quot;#,##0\)"/>
    <numFmt numFmtId="195" formatCode="dd\ mmm\ yy"/>
    <numFmt numFmtId="196" formatCode="mmm\ yy_)"/>
    <numFmt numFmtId="197" formatCode="yyyy_)"/>
    <numFmt numFmtId="198" formatCode="_([$€-2]\ * #,##0.00_);_([$€-2]\ * \(#,##0.00\);_([$€-2]\ * &quot;-&quot;??_)"/>
    <numFmt numFmtId="199" formatCode="_(&quot;$&quot;* #,##0.0_);_(&quot;$&quot;* \(#,##0.0\);_(&quot;$&quot;* &quot;-&quot;??_);_(@_)"/>
    <numFmt numFmtId="200" formatCode="#,##0_);[Red]\-#,##0_);0_);@_)"/>
    <numFmt numFmtId="201" formatCode="_-* #,##0\ _F_B_-;\-* #,##0\ _F_B_-;_-* &quot;-&quot;\ _F_B_-;_-@_-"/>
    <numFmt numFmtId="202" formatCode="_-* #,##0.00\ _F_B_-;\-* #,##0.00\ _F_B_-;_-* &quot;-&quot;??\ _F_B_-;_-@_-"/>
    <numFmt numFmtId="203" formatCode="#,###"/>
    <numFmt numFmtId="204" formatCode="#,##0_ ;[Red]\-#,##0\ "/>
    <numFmt numFmtId="205" formatCode="#,##0.0;\-#,##0.0;&quot;-&quot;"/>
    <numFmt numFmtId="206" formatCode="&quot;S/.&quot;#,##0.00;[Red]&quot;S/.&quot;\-#,##0.00"/>
    <numFmt numFmtId="207" formatCode="_-* #,##0\ _F_-;\-* #,##0\ _F_-;_-* &quot;-&quot;\ _F_-;_-@_-"/>
    <numFmt numFmtId="208" formatCode="_-* #,##0.00\ _F_-;\-* #,##0.00\ _F_-;_-* &quot;-&quot;??\ _F_-;_-@_-"/>
    <numFmt numFmtId="209" formatCode="_(&quot;R$ &quot;* #,##0_);_(&quot;R$ &quot;* \(#,##0\);_(&quot;R$ &quot;* &quot;-&quot;_);_(@_)"/>
    <numFmt numFmtId="210" formatCode="_(&quot;R$ &quot;* #,##0.00_);_(&quot;R$ &quot;* \(#,##0.00\);_(&quot;R$ &quot;* &quot;-&quot;??_);_(@_)"/>
    <numFmt numFmtId="211" formatCode="_-* #,##0\ &quot;F&quot;_-;\-* #,##0\ &quot;F&quot;_-;_-* &quot;-&quot;\ &quot;F&quot;_-;_-@_-"/>
    <numFmt numFmtId="212" formatCode="_-* #,##0.00\ &quot;F&quot;_-;\-* #,##0.00\ &quot;F&quot;_-;_-* &quot;-&quot;??\ &quot;F&quot;_-;_-@_-"/>
    <numFmt numFmtId="213" formatCode="\$#,"/>
    <numFmt numFmtId="214" formatCode="0%;[Red]\-0%"/>
    <numFmt numFmtId="215" formatCode="0.0"/>
    <numFmt numFmtId="216" formatCode="#,##0.00%;[Red]\-#,##0.00%;0.00%;@_)"/>
    <numFmt numFmtId="217" formatCode="#,##0%;[Red]\-#,##0%;0%;@_)"/>
    <numFmt numFmtId="218" formatCode="&quot;$&quot;#,##0_);\(&quot;$&quot;#,##0\)"/>
    <numFmt numFmtId="219" formatCode="#.##000"/>
    <numFmt numFmtId="220" formatCode="#.##0,"/>
    <numFmt numFmtId="221" formatCode="mm/dd/yy"/>
    <numFmt numFmtId="222" formatCode="\(#,##0\);;"/>
    <numFmt numFmtId="223" formatCode="_-* #,##0\ _P_t_s_-;\-* #,##0\ _P_t_s_-;_-* &quot;-&quot;\ _P_t_s_-;_-@_-"/>
    <numFmt numFmtId="224" formatCode="0.00%;[Red]\-0.00%"/>
    <numFmt numFmtId="225" formatCode="\ #"/>
    <numFmt numFmtId="226" formatCode="_-* #,##0\ &quot;FB&quot;_-;\-* #,##0\ &quot;FB&quot;_-;_-* &quot;-&quot;\ &quot;FB&quot;_-;_-@_-"/>
    <numFmt numFmtId="227" formatCode="_-&quot;£&quot;* #,##0.00_-;\-&quot;£&quot;* #,##0.00_-;_-&quot;£&quot;* &quot;-&quot;??_-;_-@_-"/>
    <numFmt numFmtId="228" formatCode="_(* #,##0_);_(* \(#,##0\);_(* &quot;-&quot;_);_(@_)"/>
    <numFmt numFmtId="229" formatCode="#,##0,;\-#,##0,"/>
    <numFmt numFmtId="230" formatCode="#,##0.0,,,_);\(#,##0.0,,,\)"/>
    <numFmt numFmtId="231" formatCode="_(* #,##0.0_);_(* \(#,##0.0\);_(* &quot;-&quot;?_);_(@_)"/>
    <numFmt numFmtId="232" formatCode="_(&quot;S/.&quot;* #,##0,_);_(&quot;S/.&quot;* \(#,##0,\)"/>
    <numFmt numFmtId="233" formatCode="0.0%\ "/>
    <numFmt numFmtId="234" formatCode="0.0_);\(0.0\)"/>
    <numFmt numFmtId="235" formatCode="#,##0.00\ "/>
    <numFmt numFmtId="236" formatCode="0_);\(0\)"/>
    <numFmt numFmtId="237" formatCode="#,##0.0\ "/>
    <numFmt numFmtId="238" formatCode="mmmm\ d\,\ yyyy"/>
    <numFmt numFmtId="239" formatCode="0%\ \ \ \ \ "/>
    <numFmt numFmtId="240" formatCode="0.00_);\(0.00\)"/>
    <numFmt numFmtId="241" formatCode="_(* #,##0.0_);_(* \(#,##0.0\);_(* &quot;-&quot;??_);_(@_)"/>
    <numFmt numFmtId="242" formatCode=";;;"/>
    <numFmt numFmtId="243" formatCode="#,##0.0"/>
    <numFmt numFmtId="244" formatCode="#,##0;[Red]&quot;-&quot;#,##0"/>
    <numFmt numFmtId="245" formatCode="#,##0.0,,_);\(#,##0.0,,\)"/>
    <numFmt numFmtId="246" formatCode="#,##0.0\ \P;[Red]\-#,##0.0\ \P"/>
    <numFmt numFmtId="247" formatCode="#,##0.0,_);\(#,##0.0,\)"/>
    <numFmt numFmtId="248" formatCode="_(* #,##0,_);_(* \(#,##0,\)"/>
    <numFmt numFmtId="249" formatCode="&quot;$&quot;#,##0_);[Red]\(&quot;$&quot;#,##0\)"/>
  </numFmts>
  <fonts count="1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i/>
      <sz val="10"/>
      <color indexed="45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name val="TheSansCorrespondence"/>
      <family val="2"/>
    </font>
    <font>
      <sz val="11"/>
      <color indexed="8"/>
      <name val="Calibri"/>
      <family val="2"/>
    </font>
    <font>
      <sz val="10"/>
      <name val="TheSansCorrespondence"/>
      <family val="2"/>
    </font>
    <font>
      <sz val="16"/>
      <color indexed="9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b/>
      <sz val="14"/>
      <name val="TheSansCorrespondence"/>
      <family val="2"/>
    </font>
    <font>
      <sz val="8"/>
      <name val="TheSansCorrespondence"/>
      <family val="2"/>
    </font>
    <font>
      <b/>
      <sz val="10"/>
      <color indexed="9"/>
      <name val="TheSansCorrespondence"/>
      <family val="2"/>
    </font>
    <font>
      <b/>
      <sz val="10"/>
      <name val="TheSansCorrespondence"/>
    </font>
    <font>
      <b/>
      <sz val="10"/>
      <color indexed="9"/>
      <name val="TheSansCorrespondence"/>
    </font>
    <font>
      <sz val="10"/>
      <color indexed="23"/>
      <name val="Arial"/>
      <family val="2"/>
    </font>
    <font>
      <sz val="10"/>
      <color indexed="8"/>
      <name val="TheSansCorrespondence"/>
      <family val="2"/>
    </font>
    <font>
      <sz val="8"/>
      <color indexed="8"/>
      <name val="TheSansCorrespondence"/>
      <family val="2"/>
    </font>
    <font>
      <b/>
      <sz val="10"/>
      <color indexed="9"/>
      <name val="Arial"/>
      <family val="2"/>
    </font>
    <font>
      <sz val="9"/>
      <name val="TheSansCorrespondence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4"/>
      <color indexed="9"/>
      <name val="Arial"/>
      <family val="2"/>
    </font>
    <font>
      <b/>
      <sz val="9"/>
      <color indexed="18"/>
      <name val="Arial"/>
      <family val="2"/>
    </font>
    <font>
      <b/>
      <u/>
      <sz val="10"/>
      <name val="Arial"/>
      <family val="2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Geneva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  <charset val="204"/>
    </font>
    <font>
      <sz val="10"/>
      <name val="Helv"/>
    </font>
    <font>
      <sz val="10"/>
      <name val="Arial CE"/>
      <charset val="238"/>
    </font>
    <font>
      <sz val="10"/>
      <name val="Geneva"/>
      <family val="2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b/>
      <sz val="12"/>
      <color indexed="12"/>
      <name val="Times New Roman"/>
      <family val="1"/>
      <charset val="177"/>
    </font>
    <font>
      <b/>
      <sz val="1"/>
      <color indexed="8"/>
      <name val="Courier"/>
      <family val="3"/>
    </font>
    <font>
      <sz val="9"/>
      <color indexed="8"/>
      <name val="Arial"/>
      <family val="2"/>
    </font>
    <font>
      <sz val="10"/>
      <name val="Times New Roman"/>
      <family val="1"/>
    </font>
    <font>
      <sz val="9"/>
      <color indexed="10"/>
      <name val="Geneva"/>
    </font>
    <font>
      <b/>
      <sz val="10"/>
      <name val="Helv"/>
    </font>
    <font>
      <i/>
      <sz val="9"/>
      <color indexed="55"/>
      <name val="Arial"/>
      <family val="2"/>
    </font>
    <font>
      <b/>
      <sz val="11"/>
      <color indexed="9"/>
      <name val="Calibri"/>
      <family val="2"/>
    </font>
    <font>
      <sz val="9"/>
      <name val="Helv"/>
    </font>
    <font>
      <b/>
      <sz val="10"/>
      <name val="Times New Roman"/>
      <family val="1"/>
    </font>
    <font>
      <sz val="12"/>
      <color indexed="24"/>
      <name val="Arial"/>
      <family val="2"/>
    </font>
    <font>
      <sz val="10"/>
      <name val="BERNHARD"/>
    </font>
    <font>
      <sz val="8"/>
      <color indexed="12"/>
      <name val="Tahoma"/>
      <family val="2"/>
    </font>
    <font>
      <sz val="10"/>
      <name val="MS Serif"/>
      <family val="1"/>
    </font>
    <font>
      <sz val="10"/>
      <name val="Courier"/>
      <family val="3"/>
    </font>
    <font>
      <sz val="8"/>
      <name val="Helv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sz val="8"/>
      <name val="Comic Sans MS"/>
      <family val="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10"/>
      <color indexed="12"/>
      <name val="Times New Roman"/>
      <family val="1"/>
    </font>
    <font>
      <sz val="12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sz val="10"/>
      <name val="MS Sans Serif"/>
      <family val="2"/>
    </font>
    <font>
      <b/>
      <sz val="11"/>
      <name val="Helv"/>
    </font>
    <font>
      <i/>
      <sz val="10"/>
      <color indexed="16"/>
      <name val="Times New Roman"/>
      <family val="1"/>
    </font>
    <font>
      <sz val="7"/>
      <name val="Small Fonts"/>
      <family val="2"/>
    </font>
    <font>
      <sz val="10"/>
      <name val="TheSansCorrespondence"/>
    </font>
    <font>
      <sz val="10"/>
      <color theme="1"/>
      <name val="Helvetica"/>
    </font>
    <font>
      <sz val="8"/>
      <color indexed="10"/>
      <name val="Times New Roman"/>
      <family val="1"/>
    </font>
    <font>
      <i/>
      <sz val="9"/>
      <color indexed="12"/>
      <name val="Helv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0"/>
      <name val="MS Sans Serif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b/>
      <sz val="14"/>
      <name val="Times New Roman"/>
      <family val="1"/>
    </font>
    <font>
      <sz val="7"/>
      <name val="Geneva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8"/>
      <name val="Times New Roman"/>
      <family val="1"/>
    </font>
    <font>
      <b/>
      <sz val="10"/>
      <color indexed="18"/>
      <name val="Helv"/>
    </font>
    <font>
      <sz val="10"/>
      <name val="Comic Sans MS"/>
      <family val="4"/>
    </font>
    <font>
      <b/>
      <sz val="18"/>
      <color indexed="56"/>
      <name val="Cambria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177"/>
    </font>
    <font>
      <b/>
      <sz val="14"/>
      <color indexed="56"/>
      <name val="Palatino"/>
      <family val="1"/>
    </font>
    <font>
      <b/>
      <sz val="8"/>
      <name val="Helv"/>
    </font>
    <font>
      <i/>
      <sz val="6"/>
      <name val="Times New Roman"/>
      <family val="1"/>
    </font>
    <font>
      <sz val="12"/>
      <name val="Arial"/>
      <family val="2"/>
      <charset val="177"/>
    </font>
    <font>
      <sz val="9"/>
      <color indexed="39"/>
      <name val="Arial"/>
      <family val="2"/>
    </font>
    <font>
      <sz val="9"/>
      <color indexed="12"/>
      <name val="Arial"/>
      <family val="2"/>
    </font>
    <font>
      <sz val="10"/>
      <name val="Arial"/>
      <family val="2"/>
      <charset val="177"/>
    </font>
    <font>
      <sz val="9"/>
      <name val="Trebuchet MS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b/>
      <u/>
      <sz val="11"/>
      <name val="Helvetica"/>
      <family val="2"/>
    </font>
    <font>
      <b/>
      <sz val="12"/>
      <name val="Helvetica"/>
      <family val="2"/>
    </font>
    <font>
      <b/>
      <sz val="8"/>
      <name val="Arial"/>
      <family val="2"/>
    </font>
    <font>
      <b/>
      <sz val="16"/>
      <color indexed="62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TheSansCorrespondence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8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gray125">
        <fgColor indexed="13"/>
        <bgColor indexed="9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36">
    <xf numFmtId="0" fontId="0" fillId="0" borderId="0"/>
    <xf numFmtId="0" fontId="12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9" fillId="0" borderId="0"/>
    <xf numFmtId="165" fontId="12" fillId="0" borderId="0" applyFont="0" applyFill="0" applyBorder="0" applyAlignment="0" applyProtection="0"/>
    <xf numFmtId="0" fontId="4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39" fillId="0" borderId="29" applyNumberFormat="0" applyBorder="0" applyAlignment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 applyNumberFormat="0" applyFill="0" applyBorder="0" applyAlignment="0" applyProtection="0">
      <alignment vertical="top"/>
    </xf>
    <xf numFmtId="0" fontId="4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</xf>
    <xf numFmtId="0" fontId="45" fillId="0" borderId="29" applyBorder="0">
      <alignment horizontal="left"/>
    </xf>
    <xf numFmtId="0" fontId="46" fillId="0" borderId="0"/>
    <xf numFmtId="0" fontId="47" fillId="0" borderId="0"/>
    <xf numFmtId="0" fontId="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47" fillId="0" borderId="0"/>
    <xf numFmtId="0" fontId="4" fillId="0" borderId="0"/>
    <xf numFmtId="0" fontId="4" fillId="0" borderId="0"/>
    <xf numFmtId="0" fontId="50" fillId="0" borderId="0"/>
    <xf numFmtId="0" fontId="4" fillId="0" borderId="0" applyFill="0" applyBorder="0"/>
    <xf numFmtId="0" fontId="46" fillId="0" borderId="0"/>
    <xf numFmtId="0" fontId="4" fillId="0" borderId="0"/>
    <xf numFmtId="0" fontId="4" fillId="0" borderId="0"/>
    <xf numFmtId="0" fontId="47" fillId="0" borderId="0"/>
    <xf numFmtId="0" fontId="46" fillId="0" borderId="0"/>
    <xf numFmtId="0" fontId="51" fillId="0" borderId="0"/>
    <xf numFmtId="0" fontId="52" fillId="0" borderId="0"/>
    <xf numFmtId="0" fontId="48" fillId="0" borderId="0" applyNumberForma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/>
    <xf numFmtId="0" fontId="46" fillId="0" borderId="0"/>
    <xf numFmtId="0" fontId="47" fillId="0" borderId="0"/>
    <xf numFmtId="0" fontId="4" fillId="0" borderId="0"/>
    <xf numFmtId="0" fontId="51" fillId="0" borderId="0"/>
    <xf numFmtId="0" fontId="4" fillId="0" borderId="0"/>
    <xf numFmtId="0" fontId="46" fillId="0" borderId="0"/>
    <xf numFmtId="0" fontId="4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51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/>
    <xf numFmtId="0" fontId="46" fillId="0" borderId="0"/>
    <xf numFmtId="0" fontId="4" fillId="0" borderId="0" applyFill="0" applyBorder="0"/>
    <xf numFmtId="0" fontId="46" fillId="0" borderId="0"/>
    <xf numFmtId="0" fontId="49" fillId="0" borderId="0"/>
    <xf numFmtId="0" fontId="46" fillId="0" borderId="0"/>
    <xf numFmtId="0" fontId="47" fillId="0" borderId="0"/>
    <xf numFmtId="0" fontId="4" fillId="0" borderId="0"/>
    <xf numFmtId="0" fontId="4" fillId="0" borderId="0" applyFill="0" applyBorder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/>
    <xf numFmtId="0" fontId="51" fillId="0" borderId="0"/>
    <xf numFmtId="0" fontId="4" fillId="0" borderId="0"/>
    <xf numFmtId="0" fontId="46" fillId="0" borderId="0"/>
    <xf numFmtId="0" fontId="50" fillId="0" borderId="0"/>
    <xf numFmtId="0" fontId="4" fillId="0" borderId="0"/>
    <xf numFmtId="0" fontId="4" fillId="0" borderId="0" applyFill="0" applyBorder="0"/>
    <xf numFmtId="0" fontId="46" fillId="0" borderId="0"/>
    <xf numFmtId="9" fontId="4" fillId="7" borderId="0"/>
    <xf numFmtId="0" fontId="4" fillId="0" borderId="0"/>
    <xf numFmtId="0" fontId="4" fillId="0" borderId="0"/>
    <xf numFmtId="0" fontId="4" fillId="0" borderId="0"/>
    <xf numFmtId="0" fontId="49" fillId="0" borderId="0"/>
    <xf numFmtId="172" fontId="54" fillId="0" borderId="0">
      <alignment horizontal="left"/>
    </xf>
    <xf numFmtId="173" fontId="55" fillId="0" borderId="0">
      <alignment horizontal="left"/>
    </xf>
    <xf numFmtId="0" fontId="56" fillId="0" borderId="0">
      <alignment horizontal="left" vertical="center"/>
      <protection locked="0"/>
    </xf>
    <xf numFmtId="2" fontId="57" fillId="0" borderId="0">
      <alignment horizontal="left"/>
    </xf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3" fillId="6" borderId="0" applyNumberFormat="0" applyBorder="0" applyAlignment="0" applyProtection="0"/>
    <xf numFmtId="0" fontId="51" fillId="0" borderId="0"/>
    <xf numFmtId="0" fontId="58" fillId="20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7" borderId="0" applyNumberFormat="0" applyBorder="0" applyAlignment="0" applyProtection="0"/>
    <xf numFmtId="0" fontId="4" fillId="28" borderId="36">
      <alignment horizontal="center" vertical="center"/>
    </xf>
    <xf numFmtId="0" fontId="59" fillId="0" borderId="0">
      <alignment horizontal="center" wrapText="1"/>
      <protection locked="0"/>
    </xf>
    <xf numFmtId="0" fontId="60" fillId="0" borderId="37" applyNumberFormat="0" applyFill="0" applyAlignment="0" applyProtection="0"/>
    <xf numFmtId="0" fontId="4" fillId="29" borderId="0"/>
    <xf numFmtId="0" fontId="61" fillId="11" borderId="0" applyNumberFormat="0" applyBorder="0" applyAlignment="0" applyProtection="0"/>
    <xf numFmtId="0" fontId="55" fillId="0" borderId="0" applyFont="0" applyFill="0" applyBorder="0" applyAlignment="0" applyProtection="0">
      <alignment horizontal="right"/>
    </xf>
    <xf numFmtId="2" fontId="62" fillId="0" borderId="0"/>
    <xf numFmtId="0" fontId="14" fillId="0" borderId="0" applyFill="0" applyBorder="0">
      <alignment horizontal="left" wrapText="1"/>
    </xf>
    <xf numFmtId="1" fontId="63" fillId="0" borderId="0">
      <protection locked="0"/>
    </xf>
    <xf numFmtId="1" fontId="63" fillId="0" borderId="0">
      <protection locked="0"/>
    </xf>
    <xf numFmtId="9" fontId="64" fillId="0" borderId="29" applyNumberFormat="0" applyBorder="0">
      <alignment horizontal="right"/>
    </xf>
    <xf numFmtId="0" fontId="4" fillId="0" borderId="0" applyFill="0" applyBorder="0" applyAlignment="0"/>
    <xf numFmtId="174" fontId="51" fillId="0" borderId="0" applyFill="0" applyBorder="0" applyAlignment="0"/>
    <xf numFmtId="175" fontId="51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7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65" fillId="0" borderId="0" applyNumberFormat="0" applyFill="0" applyBorder="0" applyAlignment="0" applyProtection="0"/>
    <xf numFmtId="0" fontId="66" fillId="0" borderId="0"/>
    <xf numFmtId="0" fontId="67" fillId="0" borderId="0"/>
    <xf numFmtId="0" fontId="68" fillId="0" borderId="0" applyNumberFormat="0" applyAlignment="0">
      <alignment vertical="center"/>
    </xf>
    <xf numFmtId="0" fontId="69" fillId="30" borderId="38" applyNumberFormat="0" applyAlignment="0" applyProtection="0"/>
    <xf numFmtId="178" fontId="68" fillId="0" borderId="0" applyNumberFormat="0" applyAlignment="0">
      <alignment vertical="center"/>
    </xf>
    <xf numFmtId="0" fontId="70" fillId="31" borderId="39" applyNumberFormat="0">
      <alignment horizontal="left" vertical="center"/>
      <protection locked="0" hidden="1"/>
    </xf>
    <xf numFmtId="0" fontId="15" fillId="2" borderId="1">
      <alignment wrapText="1"/>
    </xf>
    <xf numFmtId="0" fontId="7" fillId="2" borderId="1" applyProtection="0">
      <alignment horizontal="center" vertical="center" wrapText="1"/>
    </xf>
    <xf numFmtId="0" fontId="71" fillId="32" borderId="0" applyNumberFormat="0" applyBorder="0" applyProtection="0">
      <alignment horizontal="centerContinuous" vertical="center"/>
    </xf>
    <xf numFmtId="0" fontId="71" fillId="32" borderId="40" applyNumberFormat="0" applyProtection="0">
      <alignment horizontal="center" vertical="center" wrapText="1"/>
    </xf>
    <xf numFmtId="0" fontId="56" fillId="33" borderId="0" applyNumberFormat="0">
      <alignment horizontal="center" vertical="top" wrapText="1"/>
    </xf>
    <xf numFmtId="0" fontId="56" fillId="33" borderId="0" applyNumberFormat="0">
      <alignment horizontal="left" vertical="top" wrapText="1"/>
    </xf>
    <xf numFmtId="0" fontId="56" fillId="33" borderId="0" applyNumberFormat="0">
      <alignment horizontal="centerContinuous" vertical="top"/>
    </xf>
    <xf numFmtId="0" fontId="23" fillId="33" borderId="0" applyNumberFormat="0">
      <alignment horizontal="center" vertical="top" wrapText="1"/>
    </xf>
    <xf numFmtId="0" fontId="56" fillId="34" borderId="0" applyNumberFormat="0">
      <alignment horizontal="center" vertical="top" wrapText="1"/>
    </xf>
    <xf numFmtId="0" fontId="65" fillId="0" borderId="41" applyNumberFormat="0" applyFont="0" applyFill="0" applyAlignment="0" applyProtection="0">
      <alignment horizontal="left"/>
    </xf>
    <xf numFmtId="0" fontId="56" fillId="2" borderId="18">
      <alignment horizontal="center" vertical="top" wrapText="1"/>
    </xf>
    <xf numFmtId="41" fontId="4" fillId="0" borderId="0" applyFont="0" applyFill="0" applyBorder="0" applyAlignment="0" applyProtection="0"/>
    <xf numFmtId="176" fontId="51" fillId="0" borderId="0" applyFont="0" applyFill="0" applyBorder="0" applyAlignment="0" applyProtection="0"/>
    <xf numFmtId="3" fontId="72" fillId="0" borderId="0" applyFont="0" applyFill="0" applyBorder="0" applyAlignment="0" applyProtection="0"/>
    <xf numFmtId="0" fontId="73" fillId="0" borderId="0"/>
    <xf numFmtId="0" fontId="51" fillId="0" borderId="0"/>
    <xf numFmtId="0" fontId="73" fillId="0" borderId="0"/>
    <xf numFmtId="0" fontId="51" fillId="0" borderId="0"/>
    <xf numFmtId="0" fontId="74" fillId="0" borderId="0">
      <alignment horizontal="left" vertical="center"/>
    </xf>
    <xf numFmtId="0" fontId="75" fillId="0" borderId="0" applyNumberFormat="0" applyAlignment="0">
      <alignment horizontal="left"/>
    </xf>
    <xf numFmtId="0" fontId="38" fillId="3" borderId="0">
      <alignment horizontal="left" vertical="top"/>
    </xf>
    <xf numFmtId="0" fontId="76" fillId="0" borderId="0" applyNumberFormat="0" applyAlignment="0"/>
    <xf numFmtId="179" fontId="14" fillId="0" borderId="0" applyFill="0" applyBorder="0"/>
    <xf numFmtId="180" fontId="23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174" fontId="51" fillId="0" borderId="0" applyFont="0" applyFill="0" applyBorder="0" applyAlignment="0" applyProtection="0"/>
    <xf numFmtId="182" fontId="23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4" fontId="23" fillId="0" borderId="0" applyFont="0" applyFill="0" applyBorder="0" applyAlignment="0" applyProtection="0">
      <alignment vertical="center"/>
    </xf>
    <xf numFmtId="185" fontId="23" fillId="0" borderId="0" applyFont="0" applyFill="0" applyBorder="0" applyAlignment="0" applyProtection="0">
      <alignment vertical="center"/>
    </xf>
    <xf numFmtId="186" fontId="23" fillId="0" borderId="0" applyFont="0" applyFill="0" applyBorder="0" applyAlignment="0" applyProtection="0">
      <alignment vertical="center"/>
    </xf>
    <xf numFmtId="187" fontId="23" fillId="0" borderId="0" applyFont="0" applyFill="0" applyBorder="0" applyAlignment="0" applyProtection="0">
      <alignment vertical="center"/>
    </xf>
    <xf numFmtId="188" fontId="23" fillId="0" borderId="0" applyFont="0" applyFill="0" applyBorder="0" applyAlignment="0" applyProtection="0">
      <alignment vertical="center"/>
    </xf>
    <xf numFmtId="189" fontId="23" fillId="0" borderId="0" applyFont="0" applyFill="0" applyBorder="0" applyAlignment="0" applyProtection="0">
      <alignment vertical="center"/>
    </xf>
    <xf numFmtId="190" fontId="23" fillId="0" borderId="0" applyFont="0" applyFill="0" applyBorder="0" applyAlignment="0" applyProtection="0">
      <alignment vertical="center"/>
    </xf>
    <xf numFmtId="191" fontId="23" fillId="0" borderId="0" applyFont="0" applyFill="0" applyBorder="0" applyAlignment="0" applyProtection="0">
      <alignment vertical="center"/>
    </xf>
    <xf numFmtId="192" fontId="23" fillId="0" borderId="0" applyFont="0" applyFill="0" applyBorder="0" applyAlignment="0" applyProtection="0">
      <alignment vertical="center"/>
    </xf>
    <xf numFmtId="193" fontId="23" fillId="0" borderId="0" applyFont="0" applyFill="0" applyBorder="0" applyAlignment="0" applyProtection="0">
      <alignment vertical="center"/>
    </xf>
    <xf numFmtId="194" fontId="72" fillId="0" borderId="0" applyFont="0" applyFill="0" applyBorder="0" applyAlignment="0" applyProtection="0"/>
    <xf numFmtId="195" fontId="65" fillId="0" borderId="0" applyFont="0" applyFill="0" applyBorder="0" applyAlignment="0" applyProtection="0"/>
    <xf numFmtId="196" fontId="23" fillId="0" borderId="0" applyFont="0" applyFill="0" applyBorder="0" applyAlignment="0" applyProtection="0">
      <alignment vertical="center"/>
    </xf>
    <xf numFmtId="197" fontId="23" fillId="0" borderId="0" applyFont="0" applyFill="0" applyBorder="0" applyAlignment="0" applyProtection="0">
      <alignment vertical="center"/>
    </xf>
    <xf numFmtId="14" fontId="6" fillId="0" borderId="0" applyFill="0" applyBorder="0" applyAlignment="0"/>
    <xf numFmtId="0" fontId="77" fillId="31" borderId="42" applyNumberFormat="0">
      <alignment horizontal="left" vertical="center"/>
      <protection locked="0" hidden="1"/>
    </xf>
    <xf numFmtId="0" fontId="78" fillId="0" borderId="0">
      <protection locked="0"/>
    </xf>
    <xf numFmtId="0" fontId="19" fillId="0" borderId="0"/>
    <xf numFmtId="0" fontId="19" fillId="0" borderId="0"/>
    <xf numFmtId="0" fontId="63" fillId="0" borderId="0">
      <protection locked="0"/>
    </xf>
    <xf numFmtId="0" fontId="63" fillId="0" borderId="0">
      <protection locked="0"/>
    </xf>
    <xf numFmtId="0" fontId="37" fillId="5" borderId="0" applyNumberFormat="0" applyBorder="0" applyAlignment="0" applyProtection="0"/>
    <xf numFmtId="176" fontId="51" fillId="0" borderId="0" applyFill="0" applyBorder="0" applyAlignment="0"/>
    <xf numFmtId="174" fontId="51" fillId="0" borderId="0" applyFill="0" applyBorder="0" applyAlignment="0"/>
    <xf numFmtId="17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79" fillId="0" borderId="0" applyNumberFormat="0" applyAlignment="0">
      <alignment horizontal="left"/>
    </xf>
    <xf numFmtId="3" fontId="80" fillId="0" borderId="0" applyNumberFormat="0" applyFill="0" applyBorder="0" applyProtection="0">
      <protection locked="0"/>
    </xf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50" fillId="0" borderId="0"/>
    <xf numFmtId="198" fontId="81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" fillId="0" borderId="0" applyFill="0" applyBorder="0">
      <alignment wrapText="1"/>
    </xf>
    <xf numFmtId="0" fontId="14" fillId="0" borderId="0" applyFill="0" applyBorder="0"/>
    <xf numFmtId="179" fontId="4" fillId="0" borderId="25" applyFill="0" applyBorder="0">
      <protection locked="0"/>
    </xf>
    <xf numFmtId="1" fontId="78" fillId="0" borderId="0">
      <protection locked="0"/>
    </xf>
    <xf numFmtId="0" fontId="51" fillId="0" borderId="0"/>
    <xf numFmtId="0" fontId="78" fillId="0" borderId="0">
      <protection locked="0"/>
    </xf>
    <xf numFmtId="3" fontId="6" fillId="4" borderId="18"/>
    <xf numFmtId="0" fontId="78" fillId="0" borderId="0">
      <protection locked="0"/>
    </xf>
    <xf numFmtId="2" fontId="72" fillId="0" borderId="0" applyFont="0" applyFill="0" applyBorder="0" applyAlignment="0" applyProtection="0"/>
    <xf numFmtId="0" fontId="83" fillId="12" borderId="0" applyNumberFormat="0" applyBorder="0" applyAlignment="0" applyProtection="0"/>
    <xf numFmtId="38" fontId="14" fillId="2" borderId="0" applyNumberFormat="0" applyBorder="0" applyAlignment="0" applyProtection="0"/>
    <xf numFmtId="0" fontId="84" fillId="0" borderId="0" applyNumberFormat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horizontal="left" vertical="center"/>
    </xf>
    <xf numFmtId="0" fontId="56" fillId="0" borderId="0" applyNumberFormat="0" applyFill="0" applyBorder="0" applyAlignment="0" applyProtection="0">
      <alignment vertical="center"/>
    </xf>
    <xf numFmtId="199" fontId="88" fillId="0" borderId="0" applyNumberFormat="0" applyFill="0" applyBorder="0" applyProtection="0">
      <alignment horizontal="right"/>
    </xf>
    <xf numFmtId="0" fontId="87" fillId="0" borderId="43" applyNumberFormat="0" applyAlignment="0" applyProtection="0">
      <alignment horizontal="left" vertical="center"/>
    </xf>
    <xf numFmtId="0" fontId="87" fillId="0" borderId="31">
      <alignment horizontal="left" vertical="center"/>
    </xf>
    <xf numFmtId="0" fontId="89" fillId="0" borderId="0" applyNumberFormat="0">
      <alignment horizontal="left"/>
    </xf>
    <xf numFmtId="0" fontId="90" fillId="0" borderId="44" applyNumberFormat="0" applyFill="0" applyAlignment="0" applyProtection="0"/>
    <xf numFmtId="0" fontId="91" fillId="0" borderId="45" applyNumberFormat="0" applyFill="0" applyAlignment="0" applyProtection="0"/>
    <xf numFmtId="0" fontId="92" fillId="0" borderId="46" applyNumberFormat="0" applyFill="0" applyAlignment="0" applyProtection="0"/>
    <xf numFmtId="0" fontId="92" fillId="0" borderId="0" applyNumberFormat="0" applyFill="0" applyBorder="0" applyAlignment="0" applyProtection="0"/>
    <xf numFmtId="0" fontId="85" fillId="0" borderId="0" applyProtection="0"/>
    <xf numFmtId="0" fontId="87" fillId="0" borderId="0" applyProtection="0"/>
    <xf numFmtId="0" fontId="60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49" fontId="14" fillId="0" borderId="0" applyFill="0" applyBorder="0"/>
    <xf numFmtId="0" fontId="95" fillId="0" borderId="0" applyFill="0" applyBorder="0" applyAlignment="0" applyProtection="0">
      <alignment horizontal="right"/>
    </xf>
    <xf numFmtId="0" fontId="96" fillId="0" borderId="37" applyNumberFormat="0" applyFill="0" applyAlignment="0" applyProtection="0"/>
    <xf numFmtId="10" fontId="14" fillId="35" borderId="1" applyNumberFormat="0" applyBorder="0" applyAlignment="0" applyProtection="0"/>
    <xf numFmtId="0" fontId="23" fillId="0" borderId="47" applyNumberFormat="0" applyAlignment="0">
      <alignment vertical="center"/>
    </xf>
    <xf numFmtId="174" fontId="97" fillId="36" borderId="0"/>
    <xf numFmtId="0" fontId="23" fillId="0" borderId="48" applyNumberFormat="0" applyAlignment="0">
      <alignment vertical="center"/>
      <protection locked="0"/>
    </xf>
    <xf numFmtId="200" fontId="23" fillId="37" borderId="48" applyNumberFormat="0" applyAlignment="0">
      <alignment vertical="center"/>
      <protection locked="0"/>
    </xf>
    <xf numFmtId="0" fontId="96" fillId="0" borderId="0" applyNumberFormat="0" applyFill="0" applyBorder="0" applyAlignment="0" applyProtection="0"/>
    <xf numFmtId="0" fontId="23" fillId="38" borderId="0" applyNumberFormat="0" applyAlignment="0">
      <alignment vertical="center"/>
    </xf>
    <xf numFmtId="0" fontId="23" fillId="7" borderId="0" applyNumberFormat="0" applyAlignment="0">
      <alignment vertical="center"/>
    </xf>
    <xf numFmtId="0" fontId="23" fillId="0" borderId="49" applyNumberFormat="0" applyAlignment="0">
      <alignment vertical="center"/>
      <protection locked="0"/>
    </xf>
    <xf numFmtId="0" fontId="8" fillId="0" borderId="0" applyNumberFormat="0" applyFill="0" applyBorder="0" applyAlignment="0">
      <protection locked="0"/>
    </xf>
    <xf numFmtId="0" fontId="46" fillId="0" borderId="0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76" fontId="51" fillId="0" borderId="0" applyFill="0" applyBorder="0" applyAlignment="0"/>
    <xf numFmtId="174" fontId="51" fillId="0" borderId="0" applyFill="0" applyBorder="0" applyAlignment="0"/>
    <xf numFmtId="17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0" fontId="23" fillId="39" borderId="0" applyNumberFormat="0" applyFont="0" applyBorder="0" applyAlignment="0" applyProtection="0">
      <alignment horizontal="left"/>
    </xf>
    <xf numFmtId="0" fontId="99" fillId="0" borderId="51" applyNumberFormat="0" applyFill="0" applyAlignment="0" applyProtection="0"/>
    <xf numFmtId="174" fontId="100" fillId="40" borderId="0"/>
    <xf numFmtId="10" fontId="101" fillId="8" borderId="18"/>
    <xf numFmtId="0" fontId="102" fillId="0" borderId="0" applyNumberFormat="0" applyFill="0" applyBorder="0" applyProtection="0">
      <alignment horizontal="left" vertical="center"/>
    </xf>
    <xf numFmtId="203" fontId="103" fillId="0" borderId="25" applyNumberFormat="0" applyFill="0" applyBorder="0" applyAlignment="0" applyProtection="0">
      <alignment horizontal="center"/>
    </xf>
    <xf numFmtId="40" fontId="10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19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0" fontId="39" fillId="41" borderId="0">
      <alignment horizontal="right"/>
    </xf>
    <xf numFmtId="0" fontId="105" fillId="0" borderId="40"/>
    <xf numFmtId="209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1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0" fontId="78" fillId="0" borderId="0">
      <protection locked="0"/>
    </xf>
    <xf numFmtId="213" fontId="78" fillId="0" borderId="0">
      <protection locked="0"/>
    </xf>
    <xf numFmtId="17" fontId="6" fillId="8" borderId="1"/>
    <xf numFmtId="0" fontId="106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37" fontId="107" fillId="0" borderId="0"/>
    <xf numFmtId="0" fontId="76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8" fillId="0" borderId="0"/>
    <xf numFmtId="0" fontId="19" fillId="0" borderId="0"/>
    <xf numFmtId="0" fontId="109" fillId="0" borderId="0"/>
    <xf numFmtId="0" fontId="3" fillId="0" borderId="0"/>
    <xf numFmtId="0" fontId="3" fillId="0" borderId="0"/>
    <xf numFmtId="0" fontId="51" fillId="0" borderId="0"/>
    <xf numFmtId="0" fontId="23" fillId="42" borderId="0" applyBorder="0" applyAlignment="0">
      <alignment horizontal="left"/>
    </xf>
    <xf numFmtId="214" fontId="110" fillId="0" borderId="0" applyNumberFormat="0" applyFill="0" applyBorder="0" applyAlignment="0" applyProtection="0"/>
    <xf numFmtId="0" fontId="65" fillId="0" borderId="0"/>
    <xf numFmtId="0" fontId="65" fillId="0" borderId="0"/>
    <xf numFmtId="38" fontId="65" fillId="0" borderId="20" applyFont="0" applyFill="0" applyBorder="0" applyAlignment="0" applyProtection="0"/>
    <xf numFmtId="178" fontId="23" fillId="0" borderId="0" applyFont="0" applyFill="0" applyBorder="0" applyAlignment="0" applyProtection="0">
      <alignment vertical="center"/>
    </xf>
    <xf numFmtId="200" fontId="23" fillId="0" borderId="0" applyFont="0" applyFill="0" applyBorder="0" applyAlignment="0" applyProtection="0">
      <alignment vertical="center"/>
    </xf>
    <xf numFmtId="0" fontId="111" fillId="0" borderId="0" applyNumberFormat="0" applyAlignment="0">
      <alignment vertical="top"/>
    </xf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215" fontId="46" fillId="0" borderId="1" applyFill="0" applyBorder="0" applyAlignment="0" applyProtection="0"/>
    <xf numFmtId="0" fontId="65" fillId="43" borderId="15" applyNumberFormat="0" applyFont="0" applyBorder="0" applyAlignment="0" applyProtection="0"/>
    <xf numFmtId="40" fontId="6" fillId="4" borderId="0">
      <alignment horizontal="right"/>
    </xf>
    <xf numFmtId="14" fontId="59" fillId="0" borderId="0">
      <alignment horizontal="center" wrapText="1"/>
      <protection locked="0"/>
    </xf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65" fillId="0" borderId="0" applyFont="0" applyFill="0" applyBorder="0" applyAlignment="0" applyProtection="0"/>
    <xf numFmtId="10" fontId="4" fillId="0" borderId="0" applyFont="0" applyFill="0" applyBorder="0" applyAlignment="0" applyProtection="0"/>
    <xf numFmtId="166" fontId="6" fillId="0" borderId="18" applyAlignment="0" applyProtection="0"/>
    <xf numFmtId="214" fontId="65" fillId="0" borderId="0" applyFont="0" applyFill="0" applyBorder="0" applyAlignment="0" applyProtection="0"/>
    <xf numFmtId="216" fontId="23" fillId="0" borderId="0" applyFont="0" applyFill="0" applyBorder="0" applyAlignment="0" applyProtection="0">
      <alignment vertical="center"/>
    </xf>
    <xf numFmtId="217" fontId="23" fillId="0" borderId="0" applyFont="0" applyFill="0" applyBorder="0" applyAlignment="0" applyProtection="0">
      <alignment horizontal="right" vertical="center"/>
    </xf>
    <xf numFmtId="9" fontId="113" fillId="0" borderId="0" applyNumberFormat="0" applyFill="0" applyBorder="0" applyProtection="0">
      <alignment horizontal="right"/>
    </xf>
    <xf numFmtId="0" fontId="78" fillId="0" borderId="0">
      <protection locked="0"/>
    </xf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51" fillId="0" borderId="0" applyFill="0" applyBorder="0" applyAlignment="0"/>
    <xf numFmtId="174" fontId="51" fillId="0" borderId="0" applyFill="0" applyBorder="0" applyAlignment="0"/>
    <xf numFmtId="176" fontId="51" fillId="0" borderId="0" applyFill="0" applyBorder="0" applyAlignment="0"/>
    <xf numFmtId="177" fontId="51" fillId="0" borderId="0" applyFill="0" applyBorder="0" applyAlignment="0"/>
    <xf numFmtId="174" fontId="51" fillId="0" borderId="0" applyFill="0" applyBorder="0" applyAlignment="0"/>
    <xf numFmtId="218" fontId="23" fillId="4" borderId="1">
      <alignment vertical="center"/>
    </xf>
    <xf numFmtId="173" fontId="40" fillId="0" borderId="0" applyNumberFormat="0" applyFill="0" applyBorder="0" applyProtection="0">
      <alignment horizontal="left" indent="2"/>
    </xf>
    <xf numFmtId="0" fontId="104" fillId="0" borderId="0" applyNumberFormat="0" applyFont="0" applyFill="0" applyBorder="0" applyAlignment="0" applyProtection="0">
      <alignment horizontal="left"/>
    </xf>
    <xf numFmtId="15" fontId="104" fillId="0" borderId="0" applyFont="0" applyFill="0" applyBorder="0" applyAlignment="0" applyProtection="0"/>
    <xf numFmtId="4" fontId="104" fillId="0" borderId="0" applyFont="0" applyFill="0" applyBorder="0" applyAlignment="0" applyProtection="0"/>
    <xf numFmtId="0" fontId="114" fillId="0" borderId="40">
      <alignment horizontal="center"/>
    </xf>
    <xf numFmtId="3" fontId="104" fillId="0" borderId="0" applyFont="0" applyFill="0" applyBorder="0" applyAlignment="0" applyProtection="0"/>
    <xf numFmtId="0" fontId="104" fillId="44" borderId="0" applyNumberFormat="0" applyFont="0" applyBorder="0" applyAlignment="0" applyProtection="0"/>
    <xf numFmtId="219" fontId="78" fillId="0" borderId="0">
      <protection locked="0"/>
    </xf>
    <xf numFmtId="220" fontId="78" fillId="0" borderId="0">
      <protection locked="0"/>
    </xf>
    <xf numFmtId="0" fontId="51" fillId="0" borderId="0"/>
    <xf numFmtId="0" fontId="115" fillId="0" borderId="0">
      <alignment horizontal="left"/>
      <protection locked="0"/>
    </xf>
    <xf numFmtId="0" fontId="116" fillId="0" borderId="0"/>
    <xf numFmtId="0" fontId="117" fillId="0" borderId="0"/>
    <xf numFmtId="221" fontId="77" fillId="0" borderId="0" applyNumberFormat="0" applyFill="0" applyBorder="0" applyAlignment="0" applyProtection="0">
      <alignment horizontal="left"/>
    </xf>
    <xf numFmtId="38" fontId="77" fillId="0" borderId="0"/>
    <xf numFmtId="0" fontId="118" fillId="0" borderId="0" applyFill="0" applyBorder="0">
      <alignment horizontal="left"/>
    </xf>
    <xf numFmtId="222" fontId="118" fillId="0" borderId="25" applyFill="0" applyBorder="0">
      <protection locked="0"/>
    </xf>
    <xf numFmtId="0" fontId="65" fillId="0" borderId="52" applyNumberFormat="0" applyFont="0" applyFill="0" applyAlignment="0" applyProtection="0"/>
    <xf numFmtId="167" fontId="4" fillId="45" borderId="0" applyBorder="0" applyProtection="0">
      <alignment horizontal="left" wrapText="1"/>
    </xf>
    <xf numFmtId="0" fontId="71" fillId="32" borderId="0" applyNumberFormat="0" applyBorder="0" applyProtection="0">
      <alignment horizontal="left"/>
    </xf>
    <xf numFmtId="0" fontId="71" fillId="32" borderId="53" applyNumberFormat="0" applyBorder="0" applyProtection="0">
      <alignment horizontal="left" wrapText="1"/>
    </xf>
    <xf numFmtId="0" fontId="6" fillId="0" borderId="0"/>
    <xf numFmtId="0" fontId="23" fillId="0" borderId="0" applyNumberFormat="0" applyFill="0" applyBorder="0">
      <alignment horizontal="left" vertical="center" wrapText="1" indent="1"/>
    </xf>
    <xf numFmtId="0" fontId="56" fillId="0" borderId="0" applyNumberFormat="0" applyFill="0" applyBorder="0">
      <alignment horizontal="left" vertical="center" wrapText="1"/>
    </xf>
    <xf numFmtId="0" fontId="65" fillId="0" borderId="54" applyNumberFormat="0" applyFont="0" applyFill="0" applyAlignment="0" applyProtection="0"/>
    <xf numFmtId="0" fontId="119" fillId="3" borderId="0"/>
    <xf numFmtId="0" fontId="120" fillId="0" borderId="0" applyNumberFormat="0" applyFill="0" applyBorder="0" applyProtection="0">
      <alignment horizontal="left" vertical="center"/>
    </xf>
    <xf numFmtId="0" fontId="119" fillId="3" borderId="0" applyAlignment="0"/>
    <xf numFmtId="223" fontId="6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33" borderId="0">
      <alignment vertical="top" wrapText="1"/>
    </xf>
    <xf numFmtId="40" fontId="65" fillId="0" borderId="0" applyFont="0" applyFill="0" applyBorder="0" applyAlignment="0" applyProtection="0"/>
    <xf numFmtId="224" fontId="65" fillId="0" borderId="0" applyFont="0" applyFill="0" applyBorder="0" applyAlignment="0" applyProtection="0"/>
    <xf numFmtId="0" fontId="121" fillId="0" borderId="0"/>
    <xf numFmtId="0" fontId="14" fillId="7" borderId="18">
      <alignment vertical="top" wrapText="1"/>
    </xf>
    <xf numFmtId="0" fontId="4" fillId="0" borderId="0"/>
    <xf numFmtId="0" fontId="13" fillId="0" borderId="0">
      <alignment horizontal="right"/>
    </xf>
    <xf numFmtId="0" fontId="40" fillId="0" borderId="0"/>
    <xf numFmtId="0" fontId="105" fillId="0" borderId="0"/>
    <xf numFmtId="0" fontId="22" fillId="0" borderId="0"/>
    <xf numFmtId="0" fontId="122" fillId="0" borderId="0" applyNumberFormat="0" applyFill="0" applyBorder="0" applyAlignment="0" applyProtection="0">
      <alignment horizontal="left" vertical="center"/>
    </xf>
    <xf numFmtId="0" fontId="123" fillId="0" borderId="0">
      <alignment horizontal="left"/>
    </xf>
    <xf numFmtId="40" fontId="124" fillId="0" borderId="0" applyBorder="0">
      <alignment horizontal="right"/>
    </xf>
    <xf numFmtId="200" fontId="56" fillId="0" borderId="55" applyNumberFormat="0" applyFill="0" applyAlignment="0" applyProtection="0">
      <alignment vertical="center"/>
    </xf>
    <xf numFmtId="203" fontId="125" fillId="0" borderId="25" applyNumberFormat="0" applyFill="0" applyBorder="0" applyAlignment="0" applyProtection="0">
      <alignment horizontal="center"/>
    </xf>
    <xf numFmtId="200" fontId="23" fillId="0" borderId="56" applyNumberFormat="0" applyFont="0" applyFill="0" applyAlignment="0" applyProtection="0">
      <alignment vertical="center"/>
    </xf>
    <xf numFmtId="0" fontId="23" fillId="2" borderId="0" applyNumberFormat="0" applyFont="0" applyBorder="0" applyAlignment="0" applyProtection="0">
      <alignment vertical="center"/>
    </xf>
    <xf numFmtId="0" fontId="23" fillId="0" borderId="0" applyNumberFormat="0" applyFont="0" applyFill="0" applyAlignment="0" applyProtection="0">
      <alignment vertical="center"/>
    </xf>
    <xf numFmtId="200" fontId="23" fillId="0" borderId="0" applyNumberFormat="0" applyFont="0" applyBorder="0" applyAlignment="0" applyProtection="0">
      <alignment vertical="center"/>
    </xf>
    <xf numFmtId="0" fontId="126" fillId="0" borderId="0"/>
    <xf numFmtId="0" fontId="127" fillId="9" borderId="0" applyNumberFormat="0" applyBorder="0" applyAlignment="0" applyProtection="0">
      <protection locked="0"/>
    </xf>
    <xf numFmtId="225" fontId="4" fillId="0" borderId="18">
      <alignment horizontal="left"/>
    </xf>
    <xf numFmtId="49" fontId="6" fillId="0" borderId="0" applyFill="0" applyBorder="0" applyAlignment="0"/>
    <xf numFmtId="0" fontId="4" fillId="0" borderId="0" applyFill="0" applyBorder="0" applyAlignment="0"/>
    <xf numFmtId="0" fontId="128" fillId="0" borderId="0" applyFill="0" applyBorder="0" applyAlignment="0"/>
    <xf numFmtId="0" fontId="6" fillId="8" borderId="18"/>
    <xf numFmtId="0" fontId="7" fillId="2" borderId="1">
      <alignment wrapText="1"/>
    </xf>
    <xf numFmtId="0" fontId="71" fillId="32" borderId="40" applyNumberFormat="0" applyProtection="0">
      <alignment horizontal="left" vertical="center"/>
    </xf>
    <xf numFmtId="0" fontId="129" fillId="0" borderId="0" applyNumberFormat="0" applyFill="0" applyBorder="0" applyAlignment="0" applyProtection="0"/>
    <xf numFmtId="200" fontId="56" fillId="0" borderId="0" applyNumberFormat="0" applyFill="0" applyBorder="0" applyAlignment="0" applyProtection="0">
      <alignment vertical="center"/>
    </xf>
    <xf numFmtId="200" fontId="56" fillId="33" borderId="0" applyNumberFormat="0" applyAlignment="0" applyProtection="0">
      <alignment vertical="center"/>
    </xf>
    <xf numFmtId="0" fontId="23" fillId="0" borderId="0" applyNumberFormat="0" applyFont="0" applyBorder="0" applyAlignment="0" applyProtection="0">
      <alignment vertical="center"/>
    </xf>
    <xf numFmtId="37" fontId="14" fillId="8" borderId="0" applyNumberFormat="0" applyBorder="0" applyAlignment="0" applyProtection="0"/>
    <xf numFmtId="37" fontId="14" fillId="0" borderId="0"/>
    <xf numFmtId="3" fontId="130" fillId="0" borderId="57" applyProtection="0"/>
    <xf numFmtId="0" fontId="23" fillId="0" borderId="0" applyNumberFormat="0" applyFont="0" applyAlignment="0" applyProtection="0">
      <alignment vertical="center"/>
    </xf>
    <xf numFmtId="226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0" fontId="131" fillId="0" borderId="0" applyNumberFormat="0" applyFill="0" applyBorder="0" applyAlignment="0" applyProtection="0"/>
    <xf numFmtId="0" fontId="5" fillId="3" borderId="0" applyAlignment="0"/>
    <xf numFmtId="0" fontId="65" fillId="32" borderId="0" applyNumberFormat="0" applyBorder="0" applyProtection="0">
      <alignment horizontal="left"/>
    </xf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22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 applyFill="0" applyBorder="0"/>
    <xf numFmtId="0" fontId="49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/>
    <xf numFmtId="0" fontId="4" fillId="0" borderId="0" applyFill="0" applyBorder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>
      <protection locked="0"/>
    </xf>
    <xf numFmtId="0" fontId="4" fillId="0" borderId="0"/>
    <xf numFmtId="0" fontId="4" fillId="0" borderId="0">
      <alignment horizontal="right"/>
    </xf>
    <xf numFmtId="229" fontId="4" fillId="0" borderId="0" applyFont="0" applyFill="0" applyBorder="0" applyAlignment="0" applyProtection="0"/>
    <xf numFmtId="230" fontId="143" fillId="0" borderId="0" applyFont="0" applyFill="0" applyBorder="0" applyAlignment="0" applyProtection="0"/>
    <xf numFmtId="0" fontId="4" fillId="0" borderId="0"/>
    <xf numFmtId="223" fontId="4" fillId="0" borderId="0" applyFont="0" applyFill="0" applyBorder="0" applyAlignment="0" applyProtection="0"/>
    <xf numFmtId="231" fontId="4" fillId="0" borderId="0" applyFont="0" applyFill="0" applyBorder="0" applyAlignment="0" applyProtection="0"/>
    <xf numFmtId="43" fontId="49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144" fillId="0" borderId="0"/>
    <xf numFmtId="174" fontId="145" fillId="0" borderId="0" applyFill="0" applyBorder="0" applyAlignment="0" applyProtection="0">
      <alignment horizontal="left"/>
    </xf>
    <xf numFmtId="232" fontId="14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233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234" fontId="4" fillId="0" borderId="0" applyFont="0" applyFill="0" applyBorder="0" applyAlignment="0" applyProtection="0"/>
    <xf numFmtId="37" fontId="4" fillId="0" borderId="0" applyFont="0" applyFill="0" applyBorder="0" applyAlignment="0" applyProtection="0"/>
    <xf numFmtId="235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236" fontId="4" fillId="0" borderId="0" applyFont="0" applyFill="0" applyBorder="0" applyAlignment="0" applyProtection="0"/>
    <xf numFmtId="237" fontId="4" fillId="0" borderId="0" applyFont="0" applyFill="0" applyBorder="0" applyAlignment="0" applyProtection="0"/>
    <xf numFmtId="238" fontId="4" fillId="0" borderId="0" applyFont="0" applyFill="0" applyBorder="0" applyAlignment="0" applyProtection="0"/>
    <xf numFmtId="17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4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41" fontId="4" fillId="0" borderId="0" applyFont="0" applyFill="0" applyBorder="0" applyAlignment="0" applyProtection="0"/>
    <xf numFmtId="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5" fontId="23" fillId="0" borderId="0" applyFont="0" applyFill="0" applyBorder="0" applyAlignment="0">
      <alignment horizontal="left"/>
    </xf>
    <xf numFmtId="3" fontId="4" fillId="0" borderId="0" applyFont="0" applyFill="0" applyAlignment="0" applyProtection="0"/>
    <xf numFmtId="3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242" fontId="14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148" fillId="2" borderId="0">
      <protection locked="0"/>
    </xf>
    <xf numFmtId="3" fontId="149" fillId="2" borderId="0">
      <alignment horizontal="right"/>
      <protection locked="0"/>
    </xf>
    <xf numFmtId="243" fontId="148" fillId="2" borderId="0" applyBorder="0">
      <alignment horizontal="right"/>
      <protection locked="0"/>
    </xf>
    <xf numFmtId="0" fontId="98" fillId="15" borderId="50" applyNumberFormat="0" applyAlignment="0" applyProtection="0"/>
    <xf numFmtId="38" fontId="150" fillId="8" borderId="1" applyNumberFormat="0" applyFont="0" applyAlignment="0" applyProtection="0"/>
    <xf numFmtId="0" fontId="4" fillId="48" borderId="0" applyNumberFormat="0" applyFont="0" applyAlignment="0"/>
    <xf numFmtId="0" fontId="4" fillId="49" borderId="58" applyNumberFormat="0" applyFont="0" applyAlignment="0"/>
    <xf numFmtId="244" fontId="10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245" fontId="143" fillId="0" borderId="0" applyFont="0" applyFill="0" applyBorder="0" applyAlignment="0" applyProtection="0"/>
    <xf numFmtId="176" fontId="18" fillId="0" borderId="0" applyFont="0" applyFill="0" applyBorder="0" applyAlignment="0" applyProtection="0"/>
    <xf numFmtId="246" fontId="4" fillId="0" borderId="59" applyBorder="0" applyAlignment="0" applyProtection="0">
      <alignment horizontal="center"/>
    </xf>
    <xf numFmtId="0" fontId="19" fillId="0" borderId="0"/>
    <xf numFmtId="0" fontId="19" fillId="0" borderId="0"/>
    <xf numFmtId="0" fontId="2" fillId="0" borderId="0"/>
    <xf numFmtId="3" fontId="152" fillId="0" borderId="0"/>
    <xf numFmtId="38" fontId="143" fillId="0" borderId="0" applyNumberFormat="0" applyFill="0" applyBorder="0" applyAlignment="0" applyProtection="0"/>
    <xf numFmtId="3" fontId="153" fillId="0" borderId="0">
      <alignment horizontal="left"/>
    </xf>
    <xf numFmtId="0" fontId="5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3" fillId="0" borderId="0">
      <alignment horizontal="right"/>
    </xf>
    <xf numFmtId="174" fontId="154" fillId="0" borderId="0">
      <alignment horizontal="left"/>
    </xf>
    <xf numFmtId="3" fontId="14" fillId="0" borderId="0"/>
    <xf numFmtId="174" fontId="155" fillId="0" borderId="0">
      <alignment horizontal="left"/>
    </xf>
    <xf numFmtId="0" fontId="47" fillId="0" borderId="0"/>
    <xf numFmtId="236" fontId="4" fillId="0" borderId="35" applyNumberFormat="0" applyFont="0"/>
    <xf numFmtId="3" fontId="156" fillId="0" borderId="0"/>
    <xf numFmtId="3" fontId="157" fillId="0" borderId="0"/>
    <xf numFmtId="171" fontId="7" fillId="0" borderId="60"/>
    <xf numFmtId="0" fontId="56" fillId="0" borderId="0" applyNumberFormat="0"/>
    <xf numFmtId="236" fontId="158" fillId="0" borderId="0" applyNumberFormat="0">
      <alignment horizontal="centerContinuous"/>
    </xf>
    <xf numFmtId="0" fontId="71" fillId="0" borderId="0">
      <alignment horizontal="centerContinuous"/>
    </xf>
    <xf numFmtId="236" fontId="4" fillId="0" borderId="0" applyNumberFormat="0" applyAlignment="0"/>
    <xf numFmtId="236" fontId="56" fillId="0" borderId="0">
      <alignment horizontal="centerContinuous"/>
    </xf>
    <xf numFmtId="247" fontId="143" fillId="0" borderId="0" applyFont="0" applyFill="0" applyBorder="0" applyAlignment="0" applyProtection="0"/>
    <xf numFmtId="248" fontId="143" fillId="0" borderId="0" applyFont="0" applyFill="0" applyBorder="0" applyAlignment="0" applyProtection="0"/>
    <xf numFmtId="3" fontId="159" fillId="0" borderId="0"/>
    <xf numFmtId="0" fontId="7" fillId="0" borderId="0"/>
    <xf numFmtId="0" fontId="56" fillId="0" borderId="61">
      <alignment horizontal="right" wrapText="1"/>
    </xf>
    <xf numFmtId="236" fontId="4" fillId="0" borderId="0" applyNumberFormat="0" applyFill="0" applyBorder="0" applyAlignment="0" applyProtection="0"/>
    <xf numFmtId="249" fontId="104" fillId="0" borderId="0" applyFont="0" applyFill="0" applyBorder="0" applyAlignment="0" applyProtection="0"/>
    <xf numFmtId="0" fontId="133" fillId="0" borderId="0">
      <alignment horizontal="right"/>
    </xf>
    <xf numFmtId="0" fontId="4" fillId="0" borderId="0"/>
  </cellStyleXfs>
  <cellXfs count="320">
    <xf numFmtId="0" fontId="0" fillId="0" borderId="0" xfId="0"/>
    <xf numFmtId="0" fontId="5" fillId="3" borderId="0" xfId="0" applyFont="1" applyFill="1"/>
    <xf numFmtId="0" fontId="0" fillId="0" borderId="0" xfId="0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Fill="1"/>
    <xf numFmtId="0" fontId="0" fillId="0" borderId="2" xfId="0" applyBorder="1"/>
    <xf numFmtId="0" fontId="0" fillId="0" borderId="0" xfId="0" applyFill="1"/>
    <xf numFmtId="0" fontId="7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4" fontId="6" fillId="0" borderId="0" xfId="2" applyFont="1" applyFill="1" applyBorder="1"/>
    <xf numFmtId="0" fontId="5" fillId="3" borderId="0" xfId="10" applyFont="1" applyFill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0" fillId="3" borderId="0" xfId="0" applyFont="1" applyFill="1"/>
    <xf numFmtId="0" fontId="21" fillId="0" borderId="2" xfId="0" applyFont="1" applyBorder="1"/>
    <xf numFmtId="0" fontId="21" fillId="0" borderId="0" xfId="0" applyFont="1"/>
    <xf numFmtId="164" fontId="0" fillId="0" borderId="2" xfId="2" applyFont="1" applyBorder="1"/>
    <xf numFmtId="0" fontId="16" fillId="3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0" xfId="0" applyFont="1" applyFill="1"/>
    <xf numFmtId="0" fontId="0" fillId="0" borderId="0" xfId="0" applyFill="1" applyBorder="1"/>
    <xf numFmtId="0" fontId="15" fillId="0" borderId="0" xfId="0" applyFont="1" applyFill="1" applyBorder="1"/>
    <xf numFmtId="0" fontId="5" fillId="0" borderId="0" xfId="0" applyFont="1" applyFill="1" applyBorder="1"/>
    <xf numFmtId="0" fontId="20" fillId="0" borderId="0" xfId="0" applyFont="1" applyFill="1" applyBorder="1"/>
    <xf numFmtId="0" fontId="25" fillId="0" borderId="0" xfId="8" applyFont="1" applyFill="1" applyBorder="1" applyAlignment="1">
      <alignment vertical="center"/>
    </xf>
    <xf numFmtId="0" fontId="19" fillId="0" borderId="0" xfId="8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25" fillId="0" borderId="0" xfId="8" applyFont="1" applyFill="1" applyAlignment="1">
      <alignment vertical="center"/>
    </xf>
    <xf numFmtId="0" fontId="24" fillId="0" borderId="0" xfId="9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1" xfId="8" applyFont="1" applyFill="1" applyBorder="1" applyAlignment="1">
      <alignment horizontal="left" vertical="center"/>
    </xf>
    <xf numFmtId="38" fontId="19" fillId="0" borderId="0" xfId="0" applyNumberFormat="1" applyFont="1" applyFill="1" applyAlignment="1">
      <alignment vertical="center"/>
    </xf>
    <xf numFmtId="0" fontId="19" fillId="0" borderId="0" xfId="0" applyFont="1" applyFill="1"/>
    <xf numFmtId="17" fontId="26" fillId="3" borderId="1" xfId="3" applyNumberFormat="1" applyFont="1" applyFill="1" applyBorder="1" applyAlignment="1">
      <alignment horizontal="center" vertical="center"/>
    </xf>
    <xf numFmtId="17" fontId="26" fillId="3" borderId="1" xfId="3" applyNumberFormat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vertical="center"/>
    </xf>
    <xf numFmtId="0" fontId="19" fillId="0" borderId="0" xfId="3" applyFont="1" applyFill="1" applyBorder="1" applyAlignment="1">
      <alignment horizontal="left" vertical="center" indent="2"/>
    </xf>
    <xf numFmtId="0" fontId="24" fillId="0" borderId="0" xfId="3" applyFont="1" applyFill="1"/>
    <xf numFmtId="0" fontId="17" fillId="0" borderId="0" xfId="3" applyFont="1" applyFill="1"/>
    <xf numFmtId="166" fontId="19" fillId="0" borderId="0" xfId="11" applyNumberFormat="1" applyFont="1" applyFill="1"/>
    <xf numFmtId="0" fontId="19" fillId="0" borderId="0" xfId="7" applyFont="1" applyFill="1"/>
    <xf numFmtId="38" fontId="24" fillId="0" borderId="0" xfId="3" applyNumberFormat="1" applyFont="1" applyFill="1" applyAlignment="1">
      <alignment horizontal="center" vertical="center"/>
    </xf>
    <xf numFmtId="0" fontId="19" fillId="0" borderId="12" xfId="8" applyFont="1" applyFill="1" applyBorder="1" applyAlignment="1">
      <alignment horizontal="left" vertical="center" indent="2"/>
    </xf>
    <xf numFmtId="0" fontId="19" fillId="0" borderId="9" xfId="8" applyFont="1" applyFill="1" applyBorder="1" applyAlignment="1">
      <alignment horizontal="left" vertical="center" indent="2"/>
    </xf>
    <xf numFmtId="0" fontId="6" fillId="0" borderId="12" xfId="8" applyFont="1" applyFill="1" applyBorder="1" applyAlignment="1">
      <alignment horizontal="left" vertical="center" indent="2"/>
    </xf>
    <xf numFmtId="0" fontId="17" fillId="0" borderId="11" xfId="3" applyFont="1" applyFill="1" applyBorder="1" applyAlignment="1">
      <alignment horizontal="left" vertical="center"/>
    </xf>
    <xf numFmtId="17" fontId="16" fillId="3" borderId="1" xfId="3" applyNumberFormat="1" applyFont="1" applyFill="1" applyBorder="1" applyAlignment="1">
      <alignment horizontal="center" vertical="center"/>
    </xf>
    <xf numFmtId="17" fontId="16" fillId="3" borderId="1" xfId="3" applyNumberFormat="1" applyFont="1" applyFill="1" applyBorder="1" applyAlignment="1">
      <alignment horizontal="center" vertical="center" wrapText="1"/>
    </xf>
    <xf numFmtId="17" fontId="16" fillId="3" borderId="13" xfId="3" applyNumberFormat="1" applyFont="1" applyFill="1" applyBorder="1" applyAlignment="1">
      <alignment horizontal="center" vertical="center" wrapText="1"/>
    </xf>
    <xf numFmtId="17" fontId="16" fillId="3" borderId="14" xfId="3" applyNumberFormat="1" applyFont="1" applyFill="1" applyBorder="1" applyAlignment="1">
      <alignment horizontal="center" vertical="center" wrapText="1"/>
    </xf>
    <xf numFmtId="17" fontId="26" fillId="3" borderId="13" xfId="3" applyNumberFormat="1" applyFont="1" applyFill="1" applyBorder="1" applyAlignment="1">
      <alignment horizontal="center" vertical="center" wrapText="1"/>
    </xf>
    <xf numFmtId="17" fontId="26" fillId="3" borderId="14" xfId="3" applyNumberFormat="1" applyFont="1" applyFill="1" applyBorder="1" applyAlignment="1">
      <alignment horizontal="center" vertical="center" wrapText="1"/>
    </xf>
    <xf numFmtId="17" fontId="26" fillId="3" borderId="16" xfId="3" applyNumberFormat="1" applyFont="1" applyFill="1" applyBorder="1" applyAlignment="1">
      <alignment horizontal="center" vertical="center" wrapText="1"/>
    </xf>
    <xf numFmtId="17" fontId="26" fillId="3" borderId="22" xfId="3" applyNumberFormat="1" applyFont="1" applyFill="1" applyBorder="1" applyAlignment="1">
      <alignment horizontal="center" vertical="center" wrapText="1"/>
    </xf>
    <xf numFmtId="17" fontId="16" fillId="3" borderId="22" xfId="3" applyNumberFormat="1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left" vertical="center"/>
    </xf>
    <xf numFmtId="0" fontId="27" fillId="0" borderId="1" xfId="3" applyFont="1" applyFill="1" applyBorder="1" applyAlignment="1">
      <alignment horizontal="left" vertical="center"/>
    </xf>
    <xf numFmtId="0" fontId="27" fillId="0" borderId="21" xfId="3" applyFont="1" applyFill="1" applyBorder="1" applyAlignment="1">
      <alignment horizontal="left" vertical="center"/>
    </xf>
    <xf numFmtId="3" fontId="19" fillId="0" borderId="0" xfId="0" applyNumberFormat="1" applyFont="1" applyFill="1"/>
    <xf numFmtId="0" fontId="0" fillId="0" borderId="20" xfId="0" applyBorder="1"/>
    <xf numFmtId="164" fontId="0" fillId="0" borderId="12" xfId="2" applyFont="1" applyBorder="1"/>
    <xf numFmtId="0" fontId="0" fillId="0" borderId="0" xfId="0" applyBorder="1"/>
    <xf numFmtId="0" fontId="12" fillId="0" borderId="0" xfId="0" applyFont="1" applyFill="1"/>
    <xf numFmtId="0" fontId="7" fillId="0" borderId="0" xfId="0" applyFont="1" applyFill="1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164" fontId="0" fillId="0" borderId="11" xfId="2" applyFont="1" applyBorder="1"/>
    <xf numFmtId="164" fontId="0" fillId="0" borderId="5" xfId="2" applyFont="1" applyBorder="1"/>
    <xf numFmtId="164" fontId="0" fillId="0" borderId="8" xfId="2" applyFont="1" applyBorder="1"/>
    <xf numFmtId="0" fontId="7" fillId="0" borderId="26" xfId="0" applyFont="1" applyBorder="1" applyAlignment="1">
      <alignment horizontal="left"/>
    </xf>
    <xf numFmtId="0" fontId="15" fillId="0" borderId="1" xfId="3" applyFont="1" applyFill="1" applyBorder="1" applyAlignment="1">
      <alignment horizontal="left" vertical="center" indent="2"/>
    </xf>
    <xf numFmtId="0" fontId="17" fillId="0" borderId="1" xfId="3" applyFont="1" applyFill="1" applyBorder="1" applyAlignment="1">
      <alignment horizontal="left" vertical="center" indent="2"/>
    </xf>
    <xf numFmtId="0" fontId="19" fillId="0" borderId="33" xfId="0" applyFont="1" applyFill="1" applyBorder="1"/>
    <xf numFmtId="0" fontId="28" fillId="3" borderId="10" xfId="0" applyFont="1" applyFill="1" applyBorder="1" applyAlignment="1">
      <alignment horizontal="center"/>
    </xf>
    <xf numFmtId="0" fontId="28" fillId="3" borderId="1" xfId="0" applyFont="1" applyFill="1" applyBorder="1"/>
    <xf numFmtId="1" fontId="0" fillId="0" borderId="0" xfId="0" applyNumberFormat="1"/>
    <xf numFmtId="0" fontId="7" fillId="0" borderId="1" xfId="0" applyFont="1" applyBorder="1"/>
    <xf numFmtId="0" fontId="4" fillId="0" borderId="0" xfId="5"/>
    <xf numFmtId="0" fontId="0" fillId="0" borderId="0" xfId="0" applyAlignment="1">
      <alignment wrapText="1"/>
    </xf>
    <xf numFmtId="0" fontId="16" fillId="3" borderId="6" xfId="0" applyFont="1" applyFill="1" applyBorder="1" applyAlignment="1">
      <alignment horizontal="center" vertical="center" wrapText="1"/>
    </xf>
    <xf numFmtId="164" fontId="0" fillId="0" borderId="34" xfId="2" applyFont="1" applyBorder="1"/>
    <xf numFmtId="0" fontId="0" fillId="0" borderId="26" xfId="0" applyBorder="1"/>
    <xf numFmtId="0" fontId="7" fillId="0" borderId="1" xfId="0" applyFont="1" applyFill="1" applyBorder="1"/>
    <xf numFmtId="164" fontId="7" fillId="0" borderId="2" xfId="0" applyNumberFormat="1" applyFont="1" applyBorder="1"/>
    <xf numFmtId="0" fontId="7" fillId="0" borderId="0" xfId="0" applyFont="1"/>
    <xf numFmtId="0" fontId="7" fillId="0" borderId="0" xfId="0" applyFont="1" applyBorder="1"/>
    <xf numFmtId="0" fontId="29" fillId="0" borderId="0" xfId="0" applyFont="1" applyFill="1"/>
    <xf numFmtId="0" fontId="7" fillId="0" borderId="28" xfId="0" applyFont="1" applyFill="1" applyBorder="1" applyAlignment="1">
      <alignment wrapText="1"/>
    </xf>
    <xf numFmtId="0" fontId="7" fillId="0" borderId="10" xfId="0" applyFont="1" applyBorder="1"/>
    <xf numFmtId="0" fontId="16" fillId="3" borderId="11" xfId="0" applyFont="1" applyFill="1" applyBorder="1"/>
    <xf numFmtId="0" fontId="16" fillId="3" borderId="12" xfId="0" applyFont="1" applyFill="1" applyBorder="1"/>
    <xf numFmtId="0" fontId="16" fillId="3" borderId="26" xfId="0" applyFont="1" applyFill="1" applyBorder="1"/>
    <xf numFmtId="38" fontId="30" fillId="0" borderId="0" xfId="6" applyNumberFormat="1" applyFont="1" applyAlignment="1">
      <alignment vertical="center"/>
    </xf>
    <xf numFmtId="164" fontId="0" fillId="0" borderId="7" xfId="2" applyFont="1" applyBorder="1"/>
    <xf numFmtId="0" fontId="7" fillId="0" borderId="26" xfId="0" applyFont="1" applyBorder="1"/>
    <xf numFmtId="0" fontId="0" fillId="0" borderId="0" xfId="0"/>
    <xf numFmtId="0" fontId="6" fillId="0" borderId="0" xfId="0" applyFont="1" applyFill="1"/>
    <xf numFmtId="0" fontId="0" fillId="0" borderId="0" xfId="0" applyBorder="1"/>
    <xf numFmtId="4" fontId="0" fillId="0" borderId="0" xfId="0" applyNumberFormat="1" applyFill="1" applyBorder="1" applyAlignment="1">
      <alignment vertical="center"/>
    </xf>
    <xf numFmtId="0" fontId="0" fillId="3" borderId="0" xfId="0" applyFill="1"/>
    <xf numFmtId="164" fontId="7" fillId="0" borderId="2" xfId="2" applyFont="1" applyFill="1" applyBorder="1"/>
    <xf numFmtId="164" fontId="12" fillId="0" borderId="0" xfId="2" applyFont="1" applyFill="1" applyBorder="1"/>
    <xf numFmtId="4" fontId="0" fillId="0" borderId="0" xfId="0" applyNumberFormat="1" applyFill="1" applyBorder="1" applyAlignment="1">
      <alignment vertical="center" wrapText="1"/>
    </xf>
    <xf numFmtId="4" fontId="33" fillId="0" borderId="0" xfId="0" applyNumberFormat="1" applyFont="1" applyFill="1" applyBorder="1" applyAlignment="1">
      <alignment vertical="center" wrapText="1"/>
    </xf>
    <xf numFmtId="4" fontId="34" fillId="0" borderId="0" xfId="0" applyNumberFormat="1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164" fontId="0" fillId="0" borderId="0" xfId="2" applyFont="1" applyFill="1" applyBorder="1"/>
    <xf numFmtId="0" fontId="4" fillId="0" borderId="0" xfId="0" applyFont="1" applyFill="1" applyBorder="1"/>
    <xf numFmtId="0" fontId="15" fillId="0" borderId="1" xfId="0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32" fillId="0" borderId="0" xfId="0" applyFont="1" applyFill="1" applyBorder="1"/>
    <xf numFmtId="164" fontId="11" fillId="0" borderId="0" xfId="2" applyFont="1" applyFill="1" applyBorder="1"/>
    <xf numFmtId="164" fontId="36" fillId="0" borderId="0" xfId="2" applyFont="1" applyFill="1" applyBorder="1"/>
    <xf numFmtId="0" fontId="11" fillId="3" borderId="1" xfId="0" applyFont="1" applyFill="1" applyBorder="1" applyAlignment="1">
      <alignment horizontal="center" vertical="center"/>
    </xf>
    <xf numFmtId="164" fontId="0" fillId="0" borderId="0" xfId="2" applyFont="1"/>
    <xf numFmtId="0" fontId="11" fillId="3" borderId="1" xfId="0" applyFont="1" applyFill="1" applyBorder="1"/>
    <xf numFmtId="0" fontId="0" fillId="0" borderId="0" xfId="0" applyFill="1" applyBorder="1" applyAlignment="1">
      <alignment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center"/>
    </xf>
    <xf numFmtId="1" fontId="8" fillId="0" borderId="0" xfId="0" applyNumberFormat="1" applyFont="1" applyFill="1" applyBorder="1"/>
    <xf numFmtId="0" fontId="11" fillId="3" borderId="1" xfId="0" applyFont="1" applyFill="1" applyBorder="1" applyAlignment="1">
      <alignment horizontal="center" vertical="center" wrapText="1" shrinkToFit="1"/>
    </xf>
    <xf numFmtId="0" fontId="0" fillId="0" borderId="26" xfId="0" applyFill="1" applyBorder="1"/>
    <xf numFmtId="0" fontId="0" fillId="0" borderId="2" xfId="0" applyFill="1" applyBorder="1"/>
    <xf numFmtId="0" fontId="16" fillId="3" borderId="1" xfId="0" applyFont="1" applyFill="1" applyBorder="1"/>
    <xf numFmtId="0" fontId="16" fillId="3" borderId="31" xfId="0" applyFont="1" applyFill="1" applyBorder="1"/>
    <xf numFmtId="0" fontId="16" fillId="3" borderId="6" xfId="0" applyFont="1" applyFill="1" applyBorder="1"/>
    <xf numFmtId="0" fontId="16" fillId="3" borderId="10" xfId="5" applyFont="1" applyFill="1" applyBorder="1" applyAlignment="1">
      <alignment horizontal="left"/>
    </xf>
    <xf numFmtId="0" fontId="16" fillId="3" borderId="6" xfId="5" applyFont="1" applyFill="1" applyBorder="1"/>
    <xf numFmtId="164" fontId="0" fillId="0" borderId="0" xfId="2" applyFont="1" applyBorder="1"/>
    <xf numFmtId="0" fontId="8" fillId="0" borderId="0" xfId="0" applyFont="1" applyFill="1" applyBorder="1"/>
    <xf numFmtId="168" fontId="9" fillId="0" borderId="0" xfId="0" applyNumberFormat="1" applyFont="1" applyFill="1" applyBorder="1" applyAlignment="1">
      <alignment horizontal="center"/>
    </xf>
    <xf numFmtId="0" fontId="132" fillId="46" borderId="0" xfId="0" applyFont="1" applyFill="1"/>
    <xf numFmtId="4" fontId="19" fillId="0" borderId="0" xfId="0" applyNumberFormat="1" applyFont="1" applyFill="1"/>
    <xf numFmtId="0" fontId="7" fillId="0" borderId="26" xfId="0" applyFont="1" applyFill="1" applyBorder="1" applyAlignment="1">
      <alignment vertical="top" wrapText="1"/>
    </xf>
    <xf numFmtId="9" fontId="0" fillId="0" borderId="0" xfId="0" applyNumberFormat="1"/>
    <xf numFmtId="4" fontId="0" fillId="0" borderId="0" xfId="0" applyNumberFormat="1"/>
    <xf numFmtId="4" fontId="19" fillId="0" borderId="0" xfId="11" applyNumberFormat="1" applyFont="1" applyFill="1"/>
    <xf numFmtId="0" fontId="4" fillId="0" borderId="11" xfId="0" applyFont="1" applyBorder="1"/>
    <xf numFmtId="0" fontId="4" fillId="0" borderId="12" xfId="0" applyFont="1" applyBorder="1"/>
    <xf numFmtId="3" fontId="4" fillId="0" borderId="0" xfId="5" applyNumberFormat="1"/>
    <xf numFmtId="0" fontId="2" fillId="0" borderId="0" xfId="483"/>
    <xf numFmtId="4" fontId="17" fillId="0" borderId="0" xfId="8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left" vertical="center" wrapText="1" indent="2"/>
    </xf>
    <xf numFmtId="9" fontId="4" fillId="0" borderId="7" xfId="0" applyNumberFormat="1" applyFont="1" applyFill="1" applyBorder="1"/>
    <xf numFmtId="164" fontId="7" fillId="0" borderId="2" xfId="0" applyNumberFormat="1" applyFont="1" applyFill="1" applyBorder="1" applyAlignment="1">
      <alignment vertical="top" wrapText="1"/>
    </xf>
    <xf numFmtId="4" fontId="4" fillId="0" borderId="5" xfId="0" applyNumberFormat="1" applyFont="1" applyFill="1" applyBorder="1"/>
    <xf numFmtId="164" fontId="4" fillId="0" borderId="9" xfId="0" applyNumberFormat="1" applyFont="1" applyFill="1" applyBorder="1"/>
    <xf numFmtId="38" fontId="4" fillId="0" borderId="1" xfId="6" applyNumberFormat="1" applyFont="1" applyFill="1" applyBorder="1" applyAlignment="1">
      <alignment vertical="center"/>
    </xf>
    <xf numFmtId="0" fontId="4" fillId="0" borderId="1" xfId="0" applyFont="1" applyFill="1" applyBorder="1"/>
    <xf numFmtId="164" fontId="7" fillId="0" borderId="2" xfId="0" applyNumberFormat="1" applyFont="1" applyFill="1" applyBorder="1"/>
    <xf numFmtId="0" fontId="132" fillId="0" borderId="0" xfId="0" applyFont="1" applyFill="1" applyBorder="1"/>
    <xf numFmtId="0" fontId="132" fillId="0" borderId="0" xfId="0" applyFont="1" applyFill="1" applyBorder="1" applyAlignment="1">
      <alignment vertical="top" wrapText="1"/>
    </xf>
    <xf numFmtId="9" fontId="132" fillId="0" borderId="0" xfId="0" applyNumberFormat="1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3" fontId="140" fillId="0" borderId="0" xfId="0" applyNumberFormat="1" applyFont="1" applyFill="1" applyBorder="1" applyAlignment="1">
      <alignment wrapText="1"/>
    </xf>
    <xf numFmtId="0" fontId="140" fillId="0" borderId="0" xfId="0" applyFont="1" applyFill="1" applyBorder="1" applyAlignment="1">
      <alignment horizontal="right" wrapText="1"/>
    </xf>
    <xf numFmtId="10" fontId="0" fillId="0" borderId="0" xfId="485" applyNumberFormat="1" applyFont="1" applyFill="1"/>
    <xf numFmtId="10" fontId="4" fillId="0" borderId="5" xfId="0" applyNumberFormat="1" applyFont="1" applyFill="1" applyBorder="1"/>
    <xf numFmtId="1" fontId="4" fillId="0" borderId="7" xfId="0" applyNumberFormat="1" applyFont="1" applyFill="1" applyBorder="1"/>
    <xf numFmtId="9" fontId="4" fillId="0" borderId="2" xfId="0" applyNumberFormat="1" applyFont="1" applyFill="1" applyBorder="1"/>
    <xf numFmtId="0" fontId="160" fillId="0" borderId="1" xfId="0" applyFont="1" applyFill="1" applyBorder="1" applyAlignment="1">
      <alignment wrapText="1"/>
    </xf>
    <xf numFmtId="0" fontId="163" fillId="0" borderId="1" xfId="0" applyFont="1" applyFill="1" applyBorder="1"/>
    <xf numFmtId="0" fontId="7" fillId="0" borderId="0" xfId="0" applyFont="1" applyFill="1"/>
    <xf numFmtId="4" fontId="87" fillId="0" borderId="0" xfId="0" applyNumberFormat="1" applyFont="1" applyFill="1" applyBorder="1"/>
    <xf numFmtId="0" fontId="137" fillId="0" borderId="0" xfId="0" applyFont="1" applyFill="1" applyBorder="1"/>
    <xf numFmtId="4" fontId="7" fillId="0" borderId="0" xfId="0" applyNumberFormat="1" applyFont="1" applyFill="1" applyBorder="1"/>
    <xf numFmtId="4" fontId="4" fillId="0" borderId="1" xfId="0" applyNumberFormat="1" applyFont="1" applyFill="1" applyBorder="1"/>
    <xf numFmtId="4" fontId="7" fillId="0" borderId="1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9" fontId="4" fillId="0" borderId="0" xfId="0" applyNumberFormat="1" applyFont="1" applyFill="1" applyBorder="1"/>
    <xf numFmtId="0" fontId="88" fillId="0" borderId="1" xfId="0" applyFont="1" applyFill="1" applyBorder="1" applyAlignment="1">
      <alignment horizontal="right" vertical="top" wrapText="1"/>
    </xf>
    <xf numFmtId="4" fontId="87" fillId="0" borderId="1" xfId="0" applyNumberFormat="1" applyFont="1" applyFill="1" applyBorder="1"/>
    <xf numFmtId="4" fontId="86" fillId="0" borderId="1" xfId="0" applyNumberFormat="1" applyFont="1" applyFill="1" applyBorder="1"/>
    <xf numFmtId="10" fontId="160" fillId="0" borderId="1" xfId="1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27" xfId="0" applyFont="1" applyFill="1" applyBorder="1" applyAlignment="1">
      <alignment horizontal="left" vertical="center" wrapText="1"/>
    </xf>
    <xf numFmtId="164" fontId="4" fillId="0" borderId="11" xfId="2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4" fontId="0" fillId="0" borderId="1" xfId="0" applyNumberFormat="1" applyFill="1" applyBorder="1"/>
    <xf numFmtId="0" fontId="4" fillId="0" borderId="1" xfId="0" applyFont="1" applyFill="1" applyBorder="1" applyAlignment="1">
      <alignment wrapText="1"/>
    </xf>
    <xf numFmtId="0" fontId="161" fillId="0" borderId="1" xfId="602" applyNumberFormat="1" applyFont="1" applyFill="1" applyBorder="1" applyAlignment="1">
      <alignment horizontal="center"/>
    </xf>
    <xf numFmtId="168" fontId="161" fillId="0" borderId="1" xfId="602" applyNumberFormat="1" applyFont="1" applyFill="1" applyBorder="1"/>
    <xf numFmtId="0" fontId="19" fillId="0" borderId="1" xfId="8" applyFont="1" applyFill="1" applyBorder="1" applyAlignment="1">
      <alignment vertical="center"/>
    </xf>
    <xf numFmtId="0" fontId="160" fillId="0" borderId="0" xfId="0" applyFont="1" applyFill="1"/>
    <xf numFmtId="0" fontId="87" fillId="0" borderId="0" xfId="0" applyFont="1" applyFill="1"/>
    <xf numFmtId="0" fontId="4" fillId="0" borderId="0" xfId="0" applyFont="1" applyFill="1"/>
    <xf numFmtId="3" fontId="7" fillId="0" borderId="1" xfId="3" applyNumberFormat="1" applyFont="1" applyFill="1" applyBorder="1" applyAlignment="1">
      <alignment vertical="center"/>
    </xf>
    <xf numFmtId="3" fontId="7" fillId="0" borderId="13" xfId="3" applyNumberFormat="1" applyFont="1" applyFill="1" applyBorder="1" applyAlignment="1">
      <alignment vertical="center"/>
    </xf>
    <xf numFmtId="10" fontId="169" fillId="0" borderId="26" xfId="11" applyNumberFormat="1" applyFont="1" applyFill="1" applyBorder="1"/>
    <xf numFmtId="166" fontId="4" fillId="0" borderId="1" xfId="11" applyNumberFormat="1" applyFont="1" applyFill="1" applyBorder="1"/>
    <xf numFmtId="4" fontId="0" fillId="0" borderId="0" xfId="0" applyNumberFormat="1" applyFill="1"/>
    <xf numFmtId="0" fontId="167" fillId="0" borderId="0" xfId="0" applyFont="1" applyFill="1" applyBorder="1" applyAlignment="1">
      <alignment wrapText="1"/>
    </xf>
    <xf numFmtId="0" fontId="87" fillId="0" borderId="0" xfId="0" applyFont="1" applyFill="1" applyBorder="1"/>
    <xf numFmtId="0" fontId="166" fillId="0" borderId="1" xfId="0" applyFont="1" applyFill="1" applyBorder="1" applyAlignment="1">
      <alignment horizontal="right" wrapText="1"/>
    </xf>
    <xf numFmtId="3" fontId="166" fillId="0" borderId="1" xfId="0" applyNumberFormat="1" applyFont="1" applyFill="1" applyBorder="1" applyAlignment="1">
      <alignment wrapText="1"/>
    </xf>
    <xf numFmtId="0" fontId="137" fillId="0" borderId="1" xfId="0" applyFont="1" applyFill="1" applyBorder="1" applyAlignment="1">
      <alignment horizontal="right" wrapText="1"/>
    </xf>
    <xf numFmtId="3" fontId="137" fillId="0" borderId="1" xfId="0" applyNumberFormat="1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87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/>
    <xf numFmtId="0" fontId="4" fillId="0" borderId="33" xfId="5" applyFont="1" applyFill="1" applyBorder="1" applyAlignment="1">
      <alignment horizontal="center"/>
    </xf>
    <xf numFmtId="0" fontId="12" fillId="0" borderId="2" xfId="5" applyFont="1" applyFill="1" applyBorder="1"/>
    <xf numFmtId="0" fontId="4" fillId="0" borderId="0" xfId="5" applyFill="1"/>
    <xf numFmtId="0" fontId="4" fillId="0" borderId="15" xfId="0" applyFont="1" applyFill="1" applyBorder="1"/>
    <xf numFmtId="0" fontId="2" fillId="0" borderId="0" xfId="483" applyFill="1"/>
    <xf numFmtId="0" fontId="138" fillId="0" borderId="0" xfId="483" applyFont="1" applyFill="1"/>
    <xf numFmtId="0" fontId="1" fillId="0" borderId="0" xfId="483" applyFont="1" applyFill="1"/>
    <xf numFmtId="0" fontId="165" fillId="0" borderId="1" xfId="483" applyFont="1" applyFill="1" applyBorder="1" applyAlignment="1">
      <alignment horizontal="center" vertical="center" wrapText="1"/>
    </xf>
    <xf numFmtId="4" fontId="165" fillId="0" borderId="1" xfId="483" applyNumberFormat="1" applyFont="1" applyFill="1" applyBorder="1" applyAlignment="1">
      <alignment horizontal="center" vertical="center" wrapText="1"/>
    </xf>
    <xf numFmtId="0" fontId="165" fillId="0" borderId="1" xfId="483" applyFont="1" applyFill="1" applyBorder="1" applyAlignment="1">
      <alignment horizontal="center" vertical="top" wrapText="1"/>
    </xf>
    <xf numFmtId="4" fontId="2" fillId="0" borderId="1" xfId="483" applyNumberFormat="1" applyFill="1" applyBorder="1" applyAlignment="1">
      <alignment horizontal="center" vertical="top" wrapText="1"/>
    </xf>
    <xf numFmtId="10" fontId="0" fillId="0" borderId="1" xfId="484" applyNumberFormat="1" applyFont="1" applyFill="1" applyBorder="1" applyAlignment="1">
      <alignment horizontal="center" vertical="top" wrapText="1"/>
    </xf>
    <xf numFmtId="4" fontId="2" fillId="0" borderId="1" xfId="483" applyNumberFormat="1" applyFill="1" applyBorder="1" applyAlignment="1">
      <alignment horizontal="center" vertical="center" wrapText="1"/>
    </xf>
    <xf numFmtId="0" fontId="2" fillId="0" borderId="1" xfId="483" applyFill="1" applyBorder="1" applyAlignment="1">
      <alignment horizontal="center" vertical="center" wrapText="1"/>
    </xf>
    <xf numFmtId="4" fontId="2" fillId="0" borderId="0" xfId="483" applyNumberFormat="1" applyFill="1"/>
    <xf numFmtId="0" fontId="134" fillId="0" borderId="1" xfId="483" applyFont="1" applyFill="1" applyBorder="1" applyAlignment="1">
      <alignment horizontal="center" vertical="center" wrapText="1"/>
    </xf>
    <xf numFmtId="0" fontId="135" fillId="0" borderId="1" xfId="483" applyFont="1" applyFill="1" applyBorder="1" applyAlignment="1">
      <alignment horizontal="center" vertical="center" wrapText="1"/>
    </xf>
    <xf numFmtId="3" fontId="135" fillId="0" borderId="1" xfId="483" applyNumberFormat="1" applyFont="1" applyFill="1" applyBorder="1"/>
    <xf numFmtId="3" fontId="135" fillId="0" borderId="1" xfId="483" applyNumberFormat="1" applyFont="1" applyFill="1" applyBorder="1" applyAlignment="1">
      <alignment horizontal="center" vertical="center"/>
    </xf>
    <xf numFmtId="0" fontId="136" fillId="0" borderId="0" xfId="483" applyFont="1" applyFill="1"/>
    <xf numFmtId="3" fontId="135" fillId="0" borderId="10" xfId="483" applyNumberFormat="1" applyFont="1" applyFill="1" applyBorder="1"/>
    <xf numFmtId="3" fontId="135" fillId="0" borderId="31" xfId="483" applyNumberFormat="1" applyFont="1" applyFill="1" applyBorder="1"/>
    <xf numFmtId="3" fontId="136" fillId="0" borderId="31" xfId="483" applyNumberFormat="1" applyFont="1" applyFill="1" applyBorder="1"/>
    <xf numFmtId="3" fontId="136" fillId="0" borderId="6" xfId="483" applyNumberFormat="1" applyFont="1" applyFill="1" applyBorder="1"/>
    <xf numFmtId="4" fontId="136" fillId="0" borderId="0" xfId="483" applyNumberFormat="1" applyFont="1" applyFill="1"/>
    <xf numFmtId="3" fontId="139" fillId="0" borderId="1" xfId="483" applyNumberFormat="1" applyFont="1" applyFill="1" applyBorder="1"/>
    <xf numFmtId="0" fontId="168" fillId="0" borderId="0" xfId="483" applyFont="1" applyFill="1"/>
    <xf numFmtId="0" fontId="138" fillId="0" borderId="0" xfId="5" applyFont="1" applyFill="1"/>
    <xf numFmtId="0" fontId="87" fillId="0" borderId="0" xfId="5" applyFont="1" applyFill="1"/>
    <xf numFmtId="0" fontId="35" fillId="0" borderId="0" xfId="5" applyFont="1" applyFill="1"/>
    <xf numFmtId="0" fontId="4" fillId="0" borderId="1" xfId="5" applyFill="1" applyBorder="1"/>
    <xf numFmtId="4" fontId="4" fillId="0" borderId="1" xfId="5" applyNumberFormat="1" applyFill="1" applyBorder="1"/>
    <xf numFmtId="0" fontId="4" fillId="0" borderId="0" xfId="5" applyFill="1" applyBorder="1"/>
    <xf numFmtId="4" fontId="4" fillId="0" borderId="0" xfId="5" applyNumberFormat="1" applyFill="1" applyBorder="1"/>
    <xf numFmtId="0" fontId="35" fillId="0" borderId="0" xfId="5" applyFont="1" applyFill="1" applyBorder="1"/>
    <xf numFmtId="4" fontId="4" fillId="0" borderId="10" xfId="5" applyNumberFormat="1" applyFill="1" applyBorder="1"/>
    <xf numFmtId="0" fontId="142" fillId="0" borderId="1" xfId="5" applyFont="1" applyFill="1" applyBorder="1"/>
    <xf numFmtId="9" fontId="142" fillId="0" borderId="1" xfId="5" applyNumberFormat="1" applyFont="1" applyFill="1" applyBorder="1"/>
    <xf numFmtId="0" fontId="4" fillId="0" borderId="0" xfId="5" applyFont="1" applyFill="1"/>
    <xf numFmtId="0" fontId="7" fillId="0" borderId="0" xfId="5" applyFont="1" applyFill="1"/>
    <xf numFmtId="0" fontId="4" fillId="0" borderId="1" xfId="5" applyFont="1" applyFill="1" applyBorder="1"/>
    <xf numFmtId="0" fontId="142" fillId="0" borderId="0" xfId="5" applyFont="1" applyFill="1"/>
    <xf numFmtId="0" fontId="88" fillId="0" borderId="1" xfId="5" applyFont="1" applyFill="1" applyBorder="1"/>
    <xf numFmtId="4" fontId="142" fillId="0" borderId="1" xfId="5" applyNumberFormat="1" applyFont="1" applyFill="1" applyBorder="1" applyAlignment="1">
      <alignment horizontal="center" vertical="center" wrapText="1"/>
    </xf>
    <xf numFmtId="4" fontId="141" fillId="0" borderId="1" xfId="5" applyNumberFormat="1" applyFont="1" applyFill="1" applyBorder="1" applyAlignment="1">
      <alignment horizontal="center" vertical="center" wrapText="1"/>
    </xf>
    <xf numFmtId="4" fontId="4" fillId="0" borderId="1" xfId="5" applyNumberFormat="1" applyFont="1" applyFill="1" applyBorder="1"/>
    <xf numFmtId="4" fontId="142" fillId="0" borderId="1" xfId="5" applyNumberFormat="1" applyFont="1" applyFill="1" applyBorder="1"/>
    <xf numFmtId="0" fontId="164" fillId="0" borderId="1" xfId="5" applyFont="1" applyFill="1" applyBorder="1" applyAlignment="1">
      <alignment horizontal="center" vertical="center" wrapText="1"/>
    </xf>
    <xf numFmtId="4" fontId="164" fillId="0" borderId="1" xfId="5" applyNumberFormat="1" applyFont="1" applyFill="1" applyBorder="1" applyAlignment="1">
      <alignment horizontal="center"/>
    </xf>
    <xf numFmtId="0" fontId="86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87" fillId="0" borderId="1" xfId="0" applyFont="1" applyFill="1" applyBorder="1" applyAlignment="1">
      <alignment vertical="top" wrapText="1"/>
    </xf>
    <xf numFmtId="170" fontId="4" fillId="0" borderId="1" xfId="0" applyNumberFormat="1" applyFont="1" applyFill="1" applyBorder="1" applyAlignment="1">
      <alignment horizontal="center"/>
    </xf>
    <xf numFmtId="0" fontId="87" fillId="0" borderId="0" xfId="0" applyFont="1" applyFill="1" applyAlignment="1">
      <alignment horizontal="center"/>
    </xf>
    <xf numFmtId="0" fontId="26" fillId="3" borderId="10" xfId="0" applyFont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16" fillId="3" borderId="1" xfId="0" applyFont="1" applyFill="1" applyBorder="1" applyAlignment="1">
      <alignment horizontal="center"/>
    </xf>
    <xf numFmtId="4" fontId="13" fillId="47" borderId="13" xfId="3" applyNumberFormat="1" applyFont="1" applyFill="1" applyBorder="1" applyAlignment="1">
      <alignment horizontal="right" vertical="center"/>
    </xf>
    <xf numFmtId="4" fontId="13" fillId="47" borderId="14" xfId="3" applyNumberFormat="1" applyFont="1" applyFill="1" applyBorder="1" applyAlignment="1">
      <alignment horizontal="right" vertical="center"/>
    </xf>
    <xf numFmtId="4" fontId="13" fillId="47" borderId="22" xfId="3" applyNumberFormat="1" applyFont="1" applyFill="1" applyBorder="1" applyAlignment="1">
      <alignment horizontal="right" vertical="center"/>
    </xf>
    <xf numFmtId="4" fontId="7" fillId="47" borderId="1" xfId="3" applyNumberFormat="1" applyFont="1" applyFill="1" applyBorder="1" applyAlignment="1">
      <alignment horizontal="right" vertical="center"/>
    </xf>
    <xf numFmtId="4" fontId="7" fillId="47" borderId="16" xfId="3" applyNumberFormat="1" applyFont="1" applyFill="1" applyBorder="1" applyAlignment="1">
      <alignment horizontal="right" vertical="center"/>
    </xf>
    <xf numFmtId="4" fontId="4" fillId="47" borderId="3" xfId="8" applyNumberFormat="1" applyFont="1" applyFill="1" applyBorder="1" applyAlignment="1">
      <alignment horizontal="right" vertical="center"/>
    </xf>
    <xf numFmtId="4" fontId="7" fillId="47" borderId="12" xfId="8" applyNumberFormat="1" applyFont="1" applyFill="1" applyBorder="1" applyAlignment="1">
      <alignment horizontal="right" vertical="center"/>
    </xf>
    <xf numFmtId="4" fontId="7" fillId="47" borderId="17" xfId="3" applyNumberFormat="1" applyFont="1" applyFill="1" applyBorder="1" applyAlignment="1">
      <alignment horizontal="right" vertical="center"/>
    </xf>
    <xf numFmtId="4" fontId="8" fillId="47" borderId="3" xfId="8" applyNumberFormat="1" applyFont="1" applyFill="1" applyBorder="1" applyAlignment="1">
      <alignment horizontal="right" vertical="center"/>
    </xf>
    <xf numFmtId="4" fontId="8" fillId="47" borderId="18" xfId="8" applyNumberFormat="1" applyFont="1" applyFill="1" applyBorder="1" applyAlignment="1">
      <alignment horizontal="right" vertical="center"/>
    </xf>
    <xf numFmtId="4" fontId="8" fillId="47" borderId="23" xfId="8" applyNumberFormat="1" applyFont="1" applyFill="1" applyBorder="1" applyAlignment="1">
      <alignment horizontal="right" vertical="center"/>
    </xf>
    <xf numFmtId="4" fontId="4" fillId="47" borderId="12" xfId="8" applyNumberFormat="1" applyFont="1" applyFill="1" applyBorder="1" applyAlignment="1">
      <alignment horizontal="right" vertical="center"/>
    </xf>
    <xf numFmtId="4" fontId="8" fillId="47" borderId="4" xfId="8" applyNumberFormat="1" applyFont="1" applyFill="1" applyBorder="1" applyAlignment="1">
      <alignment horizontal="right" vertical="center"/>
    </xf>
    <xf numFmtId="4" fontId="8" fillId="47" borderId="19" xfId="8" applyNumberFormat="1" applyFont="1" applyFill="1" applyBorder="1" applyAlignment="1">
      <alignment horizontal="right" vertical="center"/>
    </xf>
    <xf numFmtId="4" fontId="8" fillId="47" borderId="32" xfId="8" applyNumberFormat="1" applyFont="1" applyFill="1" applyBorder="1" applyAlignment="1">
      <alignment horizontal="right" vertical="center"/>
    </xf>
    <xf numFmtId="4" fontId="4" fillId="47" borderId="9" xfId="8" applyNumberFormat="1" applyFont="1" applyFill="1" applyBorder="1" applyAlignment="1">
      <alignment horizontal="right" vertical="center"/>
    </xf>
    <xf numFmtId="4" fontId="7" fillId="47" borderId="24" xfId="3" applyNumberFormat="1" applyFont="1" applyFill="1" applyBorder="1" applyAlignment="1">
      <alignment horizontal="right" vertical="center"/>
    </xf>
    <xf numFmtId="4" fontId="7" fillId="47" borderId="11" xfId="3" applyNumberFormat="1" applyFont="1" applyFill="1" applyBorder="1" applyAlignment="1">
      <alignment horizontal="right" vertical="center"/>
    </xf>
    <xf numFmtId="4" fontId="7" fillId="47" borderId="13" xfId="8" applyNumberFormat="1" applyFont="1" applyFill="1" applyBorder="1" applyAlignment="1">
      <alignment horizontal="right" vertical="center"/>
    </xf>
    <xf numFmtId="4" fontId="7" fillId="47" borderId="1" xfId="8" applyNumberFormat="1" applyFont="1" applyFill="1" applyBorder="1" applyAlignment="1">
      <alignment vertical="center"/>
    </xf>
    <xf numFmtId="4" fontId="87" fillId="47" borderId="1" xfId="3" applyNumberFormat="1" applyFont="1" applyFill="1" applyBorder="1" applyAlignment="1">
      <alignment horizontal="right" vertical="center"/>
    </xf>
    <xf numFmtId="4" fontId="7" fillId="47" borderId="21" xfId="3" applyNumberFormat="1" applyFont="1" applyFill="1" applyBorder="1" applyAlignment="1">
      <alignment horizontal="right" vertical="center"/>
    </xf>
    <xf numFmtId="164" fontId="0" fillId="47" borderId="5" xfId="0" applyNumberFormat="1" applyFill="1" applyBorder="1"/>
    <xf numFmtId="4" fontId="0" fillId="47" borderId="7" xfId="0" applyNumberFormat="1" applyFill="1" applyBorder="1"/>
    <xf numFmtId="164" fontId="7" fillId="47" borderId="6" xfId="2" applyFont="1" applyFill="1" applyBorder="1"/>
    <xf numFmtId="4" fontId="4" fillId="47" borderId="1" xfId="0" applyNumberFormat="1" applyFont="1" applyFill="1" applyBorder="1"/>
    <xf numFmtId="4" fontId="7" fillId="47" borderId="1" xfId="0" applyNumberFormat="1" applyFont="1" applyFill="1" applyBorder="1"/>
    <xf numFmtId="170" fontId="88" fillId="47" borderId="1" xfId="0" applyNumberFormat="1" applyFont="1" applyFill="1" applyBorder="1"/>
    <xf numFmtId="170" fontId="137" fillId="47" borderId="1" xfId="0" applyNumberFormat="1" applyFont="1" applyFill="1" applyBorder="1"/>
    <xf numFmtId="170" fontId="86" fillId="47" borderId="1" xfId="0" applyNumberFormat="1" applyFont="1" applyFill="1" applyBorder="1"/>
    <xf numFmtId="168" fontId="162" fillId="47" borderId="1" xfId="0" applyNumberFormat="1" applyFont="1" applyFill="1" applyBorder="1" applyAlignment="1">
      <alignment horizontal="center"/>
    </xf>
    <xf numFmtId="3" fontId="4" fillId="47" borderId="1" xfId="5" applyNumberFormat="1" applyFont="1" applyFill="1" applyBorder="1"/>
    <xf numFmtId="3" fontId="142" fillId="47" borderId="1" xfId="5" applyNumberFormat="1" applyFont="1" applyFill="1" applyBorder="1"/>
    <xf numFmtId="0" fontId="4" fillId="47" borderId="1" xfId="5" applyFont="1" applyFill="1" applyBorder="1"/>
    <xf numFmtId="0" fontId="88" fillId="47" borderId="1" xfId="5" applyFont="1" applyFill="1" applyBorder="1"/>
    <xf numFmtId="4" fontId="142" fillId="47" borderId="1" xfId="5" applyNumberFormat="1" applyFont="1" applyFill="1" applyBorder="1"/>
    <xf numFmtId="4" fontId="164" fillId="47" borderId="1" xfId="5" applyNumberFormat="1" applyFont="1" applyFill="1" applyBorder="1" applyAlignment="1">
      <alignment horizontal="center"/>
    </xf>
    <xf numFmtId="4" fontId="0" fillId="47" borderId="1" xfId="0" applyNumberFormat="1" applyFill="1" applyBorder="1"/>
    <xf numFmtId="164" fontId="4" fillId="47" borderId="5" xfId="2" applyFont="1" applyFill="1" applyBorder="1"/>
    <xf numFmtId="164" fontId="7" fillId="47" borderId="2" xfId="2" applyFont="1" applyFill="1" applyBorder="1"/>
    <xf numFmtId="164" fontId="7" fillId="47" borderId="6" xfId="0" applyNumberFormat="1" applyFont="1" applyFill="1" applyBorder="1"/>
    <xf numFmtId="164" fontId="4" fillId="47" borderId="11" xfId="2" applyFont="1" applyFill="1" applyBorder="1"/>
    <xf numFmtId="164" fontId="7" fillId="47" borderId="30" xfId="0" applyNumberFormat="1" applyFont="1" applyFill="1" applyBorder="1"/>
    <xf numFmtId="164" fontId="7" fillId="47" borderId="1" xfId="0" applyNumberFormat="1" applyFont="1" applyFill="1" applyBorder="1"/>
    <xf numFmtId="3" fontId="0" fillId="47" borderId="1" xfId="484" applyNumberFormat="1" applyFont="1" applyFill="1" applyBorder="1" applyAlignment="1">
      <alignment horizontal="center" vertical="top" wrapText="1"/>
    </xf>
    <xf numFmtId="4" fontId="135" fillId="47" borderId="1" xfId="483" applyNumberFormat="1" applyFont="1" applyFill="1" applyBorder="1"/>
    <xf numFmtId="3" fontId="135" fillId="47" borderId="1" xfId="483" applyNumberFormat="1" applyFont="1" applyFill="1" applyBorder="1" applyAlignment="1">
      <alignment horizontal="center" vertical="center"/>
    </xf>
    <xf numFmtId="3" fontId="139" fillId="47" borderId="1" xfId="483" applyNumberFormat="1" applyFont="1" applyFill="1" applyBorder="1"/>
    <xf numFmtId="4" fontId="87" fillId="47" borderId="1" xfId="0" applyNumberFormat="1" applyFont="1" applyFill="1" applyBorder="1"/>
    <xf numFmtId="164" fontId="4" fillId="47" borderId="2" xfId="2" applyFont="1" applyFill="1" applyBorder="1"/>
  </cellXfs>
  <cellStyles count="636">
    <cellStyle name=" Task]_x000d__x000a_TaskName=Scan At_x000d__x000a_TaskID=3_x000d__x000a_WorkstationName=SmarTone_x000d__x000a_LastExecuted=0_x000d__x000a_LastSt" xfId="486"/>
    <cellStyle name="_x000a_shell=progma 2" xfId="16"/>
    <cellStyle name="#" xfId="17"/>
    <cellStyle name="%" xfId="18"/>
    <cellStyle name="%_00 Costos Plataforma de Pago" xfId="487"/>
    <cellStyle name="%_00 Costos Plataforma de Pago 2" xfId="488"/>
    <cellStyle name="%_00 Costos Plataforma de Pago 3" xfId="489"/>
    <cellStyle name="%_161147 HABER AB08" xfId="19"/>
    <cellStyle name="%_Actas_Val_Fin_AM_Octubre_2008" xfId="20"/>
    <cellStyle name="%_Actas_Val_Fin_MLC_Diciembre_2007" xfId="21"/>
    <cellStyle name="%_Actas_Val_Fin_Nextel_Agosto_2008" xfId="22"/>
    <cellStyle name="%_Actas_Val_Fin_Nextel_Fija_Abril_2008" xfId="23"/>
    <cellStyle name="%_Actas_Val_Fin_Nextel_Fija_Enero_2008" xfId="24"/>
    <cellStyle name="%_Actas_Val_Fin_Nextel_Fija_Junio_2008" xfId="25"/>
    <cellStyle name="%_Actas_Val_Fin_Nextel_Fija_Octubre_2008" xfId="26"/>
    <cellStyle name="%_Actas_Val_Fin_Nextel_Fija_Setiembre_2008" xfId="27"/>
    <cellStyle name="%_Actas_Val_Fin_Nextel_Julio_2008" xfId="28"/>
    <cellStyle name="%_Actas_Val_Fin_Nextel_Junio_2008" xfId="29"/>
    <cellStyle name="%_Actas_Val_Fin_Nextel_Mayo_2008" xfId="30"/>
    <cellStyle name="%_Actas_Val_Fin_TSM_Febrero_2008" xfId="31"/>
    <cellStyle name="%_Actas_Val_Prel_AM_Julio_2008" xfId="32"/>
    <cellStyle name="%_Actas_Val_Prel_AM_Setiembre_2008" xfId="33"/>
    <cellStyle name="%_Actas_Val_Prel_Nextel_Abril_2008" xfId="34"/>
    <cellStyle name="%_Actas_Val_Prel_Nextel_Agosto_2008" xfId="35"/>
    <cellStyle name="%_Actas_Val_Prel_Nextel_Julio_2008" xfId="36"/>
    <cellStyle name="%_Actas_Val_Prel_Nextel_Octubre_2007" xfId="37"/>
    <cellStyle name="%_Actas_Val_Prel_Nextel_Octubre_2008" xfId="38"/>
    <cellStyle name="%_Actas_Val_Prel_Nextel_Setiembre_2008" xfId="39"/>
    <cellStyle name="%_Actas_Val_Prel_Tim_Noviembre_2007" xfId="40"/>
    <cellStyle name="%_Actas_Val_Prel_Tim_Octubre_2007" xfId="41"/>
    <cellStyle name="%_Analisis de escenarios Area Virtual Movil" xfId="490"/>
    <cellStyle name="%_Datos_Costos_Plataforma_Prepago_2010 v2" xfId="491"/>
    <cellStyle name="(4) STM-1 (LECT)_x000d__x000a_PL-4579-M-039-99_x000d__x000a_FALTA APE" xfId="1"/>
    <cellStyle name="*MB Hardwired" xfId="42"/>
    <cellStyle name="*MB Input Table Calc" xfId="43"/>
    <cellStyle name="*MB Normal" xfId="44"/>
    <cellStyle name="*MB Placeholder" xfId="45"/>
    <cellStyle name="???" xfId="46"/>
    <cellStyle name="??_1951_0006" xfId="492"/>
    <cellStyle name="_0 - 3G Spain BOM Summary" xfId="47"/>
    <cellStyle name="_02 Network elements" xfId="493"/>
    <cellStyle name="_02 Network elements_00 Costos Plataforma de Pago" xfId="494"/>
    <cellStyle name="_02 Network elements_00 Costos Plataforma de Pago 2" xfId="495"/>
    <cellStyle name="_02 Network elements_00 Costos Plataforma de Pago 3" xfId="496"/>
    <cellStyle name="_02 Network elements_Datos_Costos_Plataforma_Prepago_2010 v2" xfId="497"/>
    <cellStyle name="_1xRTT 3rd Carrier B-Form V.02 221102" xfId="48"/>
    <cellStyle name="_ADICIONALES Rev FA (2)" xfId="49"/>
    <cellStyle name="_Anexo 16.7.2 Planilha de Preços Unitários Rede GSM  Darw" xfId="50"/>
    <cellStyle name="_Anexo 16.7.2 Planilha de Preços Unitários Rede GSM  Darw_00 Costos Plataforma de Pago" xfId="498"/>
    <cellStyle name="_Anexo 16.7.2 Planilha de Preços Unitários Rede GSM  Darw_00 Costos Plataforma de Pago 2" xfId="499"/>
    <cellStyle name="_Anexo 16.7.2 Planilha de Preços Unitários Rede GSM  Darw_00 Costos Plataforma de Pago 3" xfId="500"/>
    <cellStyle name="_Anexo 16.7.2 Planilha de Preços Unitários Rede GSM  Darw_Datos_Costos_Plataforma_Prepago_2010 v2" xfId="501"/>
    <cellStyle name="_Atención a Terceros" xfId="502"/>
    <cellStyle name="_Bonos 2008 (Bono por cartera)" xfId="503"/>
    <cellStyle name="_BTS comp and discount structure V.11" xfId="51"/>
    <cellStyle name="_BTS comp and discount structure V.11_00 Costos Plataforma de Pago" xfId="504"/>
    <cellStyle name="_BTS comp and discount structure V.11_00 Costos Plataforma de Pago 2" xfId="505"/>
    <cellStyle name="_BTS comp and discount structure V.11_00 Costos Plataforma de Pago 3" xfId="506"/>
    <cellStyle name="_BTS comp and discount structure V.11_Datos_Costos_Plataforma_Prepago_2010 v2" xfId="507"/>
    <cellStyle name="_BTS EQUIPOS + TI (4)" xfId="508"/>
    <cellStyle name="_CAL CE041 01 06 REV B OA" xfId="52"/>
    <cellStyle name="_CAL CE041 03 06 OE" xfId="53"/>
    <cellStyle name="_CCPPs_General" xfId="54"/>
    <cellStyle name="_CCPPs_General_I. T. Fija 1" xfId="55"/>
    <cellStyle name="_Cimentación Torre 16set29" xfId="56"/>
    <cellStyle name="_Clientes_Tráfico_voz_Tráfico_datos (3)" xfId="57"/>
    <cellStyle name="_Cobertura Fija IV trim" xfId="58"/>
    <cellStyle name="_Cobertura Móvil" xfId="59"/>
    <cellStyle name="_Cobertura Telefonía Móvil" xfId="60"/>
    <cellStyle name="_Comcel Phase 5 B-Form" xfId="61"/>
    <cellStyle name="_control de obras 30 01 07" xfId="62"/>
    <cellStyle name="_CRONO NUEVO SOMBRA_7" xfId="63"/>
    <cellStyle name="_Cronograma sombra azul por semana Abril Mayo Rev 2" xfId="64"/>
    <cellStyle name="_CUOTA ANUAL 2008 FINAL 02.04.2009" xfId="65"/>
    <cellStyle name="_Detalle de Gastos (PXQ)-2008 version 4" xfId="509"/>
    <cellStyle name="_Enviado a comercial 180806 -  Preciario CW -" xfId="66"/>
    <cellStyle name="_EQList Data Backbone PP15K-7K 100603 w COSTS" xfId="67"/>
    <cellStyle name="_EQList Data Backbone PP15K-7K 100603 w COSTS_00 Costos Plataforma de Pago" xfId="510"/>
    <cellStyle name="_EQList Data Backbone PP15K-7K 100603 w COSTS_00 Costos Plataforma de Pago 2" xfId="511"/>
    <cellStyle name="_EQList Data Backbone PP15K-7K 100603 w COSTS_00 Costos Plataforma de Pago 3" xfId="512"/>
    <cellStyle name="_EQList Data Backbone PP15K-7K 100603 w COSTS_Datos_Costos_Plataforma_Prepago_2010 v2" xfId="513"/>
    <cellStyle name="_EQList TdP OM4150 100603 - w COSTS" xfId="68"/>
    <cellStyle name="_EQList TdP OM4150 100603 - w COSTS_00 Costos Plataforma de Pago" xfId="514"/>
    <cellStyle name="_EQList TdP OM4150 100603 - w COSTS_00 Costos Plataforma de Pago 2" xfId="515"/>
    <cellStyle name="_EQList TdP OM4150 100603 - w COSTS_00 Costos Plataforma de Pago 3" xfId="516"/>
    <cellStyle name="_EQList TdP OM4150 100603 - w COSTS_Datos_Costos_Plataforma_Prepago_2010 v2" xfId="517"/>
    <cellStyle name="_Estaciones 2007 con coordenadas" xfId="69"/>
    <cellStyle name="_ESTADO AL  111006" xfId="70"/>
    <cellStyle name="_Estudio de Radioenlaces" xfId="71"/>
    <cellStyle name="_FICHAS_ENTREGADAS_EN SEP-DIC" xfId="72"/>
    <cellStyle name="_Global Comps - Full Service - 12 Jan  2001" xfId="518"/>
    <cellStyle name="_Global Comps - Full Service - 12 Jan  2001_Analisis de escenarios Area Virtual Movil" xfId="519"/>
    <cellStyle name="_Global Comps - Full Service - 18 June 2001" xfId="520"/>
    <cellStyle name="_Global Comps - Full Service - 18 June 2001_Analisis de escenarios Area Virtual Movil" xfId="521"/>
    <cellStyle name="_Global Comps - Full Service - 20 June 2001" xfId="522"/>
    <cellStyle name="_Global Comps - Full Service - 20 June 2001_Analisis de escenarios Area Virtual Movil" xfId="523"/>
    <cellStyle name="_Hoja1" xfId="73"/>
    <cellStyle name="_Hoja1_1" xfId="74"/>
    <cellStyle name="_Hoja1_2" xfId="75"/>
    <cellStyle name="_Hoja2" xfId="76"/>
    <cellStyle name="_Hoja3" xfId="77"/>
    <cellStyle name="_Hoja3_1" xfId="78"/>
    <cellStyle name="_Hoja3_Hoja1" xfId="79"/>
    <cellStyle name="_Hoja3_Hoja8" xfId="80"/>
    <cellStyle name="_Hoja4" xfId="81"/>
    <cellStyle name="_Hoja5" xfId="82"/>
    <cellStyle name="_Hoja8" xfId="83"/>
    <cellStyle name="_Hoja8_1" xfId="84"/>
    <cellStyle name="_Huawei Local Service Summary Table" xfId="85"/>
    <cellStyle name="_I Trim 2009" xfId="86"/>
    <cellStyle name="_I Trimestre" xfId="87"/>
    <cellStyle name="_I. T. Fija 1" xfId="88"/>
    <cellStyle name="_II Trimestre" xfId="89"/>
    <cellStyle name="_III Trimestre" xfId="90"/>
    <cellStyle name="_Info BS 050307" xfId="91"/>
    <cellStyle name="_IV Trimestre" xfId="92"/>
    <cellStyle name="_Leadcom Target" xfId="93"/>
    <cellStyle name="_Leadcoml_NOKIA BSS PACKTargets_June2005" xfId="94"/>
    <cellStyle name="_Libro1" xfId="95"/>
    <cellStyle name="_Libro2" xfId="96"/>
    <cellStyle name="_Libro6" xfId="524"/>
    <cellStyle name="_Lima y callao" xfId="97"/>
    <cellStyle name="_Listado REPs considerados" xfId="98"/>
    <cellStyle name="_MCIT" xfId="525"/>
    <cellStyle name="_MCIT_Analisis de escenarios Area Virtual Movil" xfId="526"/>
    <cellStyle name="_New WCOM" xfId="527"/>
    <cellStyle name="_New WCOM_Analisis de escenarios Area Virtual Movil" xfId="528"/>
    <cellStyle name="_Pagos por Concesión" xfId="99"/>
    <cellStyle name="_Plan2007" xfId="100"/>
    <cellStyle name="_PO 2007 Trabajo_15_02_07_copy" xfId="101"/>
    <cellStyle name="_PROYECTOS_SOMBRA_AZUL" xfId="102"/>
    <cellStyle name="_Reclamos" xfId="103"/>
    <cellStyle name="_Resumen Provincias Telefonica (2-SPM) v3" xfId="104"/>
    <cellStyle name="_Resumen Provincias Telefonica v2" xfId="105"/>
    <cellStyle name="_SERVICIO MÓVIL Y CABLE" xfId="106"/>
    <cellStyle name="_SITE_TOTAL" xfId="107"/>
    <cellStyle name="_Sombra_azul_2006" xfId="108"/>
    <cellStyle name="_Status de Implementaciones 13-09-06" xfId="109"/>
    <cellStyle name="_Torre 30 m- evaluado 120-2-p" xfId="110"/>
    <cellStyle name="_TRÁFICO" xfId="111"/>
    <cellStyle name="_tráfico (incluye I trimestre 2009) y clientes por tecnología" xfId="112"/>
    <cellStyle name="_Valorizacion RED Modelo Costos 2010 Version Final_2" xfId="529"/>
    <cellStyle name="_Valorizacion RED Modelo Costos 2010 Version Final_2_00 Costos Plataforma de Pago" xfId="530"/>
    <cellStyle name="_Valorizacion RED Modelo Costos 2010 Version Final_2_00 Costos Plataforma de Pago 2" xfId="531"/>
    <cellStyle name="_Valorizacion RED Modelo Costos 2010 Version Final_2_00 Costos Plataforma de Pago 3" xfId="532"/>
    <cellStyle name="_Valorizacion RED Modelo Costos 2010 Version Final_2_Datos_Costos_Plataforma_Prepago_2010 v2" xfId="533"/>
    <cellStyle name="_Valorizacion RED Modelo Costos 2010 Version Final_4 Revisada" xfId="534"/>
    <cellStyle name="_Valorizacion RED Modelo Costos 2010 Version Final_4 Revisada_00 Costos Plataforma de Pago" xfId="535"/>
    <cellStyle name="_Valorizacion RED Modelo Costos 2010 Version Final_4 Revisada_00 Costos Plataforma de Pago 2" xfId="536"/>
    <cellStyle name="_Valorizacion RED Modelo Costos 2010 Version Final_4 Revisada_00 Costos Plataforma de Pago 3" xfId="537"/>
    <cellStyle name="_Valorizacion RED Modelo Costos 2010 Version Final_4 Revisada_Datos_Costos_Plataforma_Prepago_2010 v2" xfId="538"/>
    <cellStyle name="_Verificación PO2007_FINAL" xfId="113"/>
    <cellStyle name="_VNTModellastestimates" xfId="539"/>
    <cellStyle name="_VNTModellastestimates_Analisis de escenarios Area Virtual Movil" xfId="540"/>
    <cellStyle name="=C:\WINDOWS\SYSTEM32\COMMAND.COM" xfId="114"/>
    <cellStyle name="=C:\WINNT\SYSTEM32\COMMAND.COM" xfId="541"/>
    <cellStyle name="=C:\WINNT35\SYSTEM32\COMMAND.COM" xfId="115"/>
    <cellStyle name="=C:\WINNT35\SYSTEM32\COMMAND.COM 3" xfId="116"/>
    <cellStyle name="•W_laroux" xfId="117"/>
    <cellStyle name="0,0_x000d__x000a_NA_x000d__x000a_" xfId="118"/>
    <cellStyle name="0000" xfId="119"/>
    <cellStyle name="000000" xfId="120"/>
    <cellStyle name="0UserFill" xfId="121"/>
    <cellStyle name="1" xfId="122"/>
    <cellStyle name="20% - Accent1" xfId="123"/>
    <cellStyle name="20% - Accent2" xfId="124"/>
    <cellStyle name="20% - Accent3" xfId="125"/>
    <cellStyle name="20% - Accent4" xfId="126"/>
    <cellStyle name="20% - Accent5" xfId="127"/>
    <cellStyle name="20% - Accent6" xfId="128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Énfasis3 2" xfId="135"/>
    <cellStyle name="571" xfId="136"/>
    <cellStyle name="60% - Accent1" xfId="137"/>
    <cellStyle name="60% - Accent2" xfId="138"/>
    <cellStyle name="60% - Accent3" xfId="139"/>
    <cellStyle name="60% - Accent4" xfId="140"/>
    <cellStyle name="60% - Accent5" xfId="141"/>
    <cellStyle name="60% - Accent6" xfId="142"/>
    <cellStyle name="6mal" xfId="542"/>
    <cellStyle name="Accent1" xfId="143"/>
    <cellStyle name="Accent2" xfId="144"/>
    <cellStyle name="Accent3" xfId="145"/>
    <cellStyle name="Accent4" xfId="146"/>
    <cellStyle name="Accent5" xfId="147"/>
    <cellStyle name="Accent6" xfId="148"/>
    <cellStyle name="Actual Date" xfId="149"/>
    <cellStyle name="AFE" xfId="543"/>
    <cellStyle name="Año" xfId="544"/>
    <cellStyle name="args.style" xfId="150"/>
    <cellStyle name="Assumption" xfId="151"/>
    <cellStyle name="auf tausender" xfId="545"/>
    <cellStyle name="axlcolour" xfId="152"/>
    <cellStyle name="Bad" xfId="153"/>
    <cellStyle name="Billions" xfId="546"/>
    <cellStyle name="blank" xfId="154"/>
    <cellStyle name="Blue Heading" xfId="155"/>
    <cellStyle name="Board Level" xfId="156"/>
    <cellStyle name="BvDAddIn_Currency" xfId="547"/>
    <cellStyle name="Cabecera 1" xfId="157"/>
    <cellStyle name="Cabecera 2" xfId="158"/>
    <cellStyle name="Calc" xfId="159"/>
    <cellStyle name="Calc Currency (0)" xfId="160"/>
    <cellStyle name="Calc Currency (2)" xfId="161"/>
    <cellStyle name="Calc Percent (0)" xfId="162"/>
    <cellStyle name="Calc Percent (1)" xfId="163"/>
    <cellStyle name="Calc Percent (2)" xfId="164"/>
    <cellStyle name="Calc Units (0)" xfId="165"/>
    <cellStyle name="Calc Units (1)" xfId="166"/>
    <cellStyle name="Calc Units (2)" xfId="167"/>
    <cellStyle name="Calculation" xfId="168"/>
    <cellStyle name="Cancel" xfId="169"/>
    <cellStyle name="category" xfId="170"/>
    <cellStyle name="Check" xfId="171"/>
    <cellStyle name="Check Cell" xfId="172"/>
    <cellStyle name="Checksum" xfId="173"/>
    <cellStyle name="Code" xfId="174"/>
    <cellStyle name="Col_heading" xfId="175"/>
    <cellStyle name="Column Heading" xfId="176"/>
    <cellStyle name="Column Heading (No Wrap)" xfId="177"/>
    <cellStyle name="Column Heading_Demand Summary" xfId="178"/>
    <cellStyle name="Column label" xfId="179"/>
    <cellStyle name="Column label (left aligned)" xfId="180"/>
    <cellStyle name="Column label (no wrap)" xfId="181"/>
    <cellStyle name="Column label (not bold)" xfId="182"/>
    <cellStyle name="Column label (Wrap)" xfId="183"/>
    <cellStyle name="Column Total" xfId="184"/>
    <cellStyle name="Column_heading" xfId="185"/>
    <cellStyle name="Comma [0]" xfId="186"/>
    <cellStyle name="Comma [00]" xfId="187"/>
    <cellStyle name="Comma [2]" xfId="548"/>
    <cellStyle name="Comma 2" xfId="549"/>
    <cellStyle name="Comma 3" xfId="550"/>
    <cellStyle name="Comma.2" xfId="551"/>
    <cellStyle name="Comma_!!!GO" xfId="552"/>
    <cellStyle name="Comma0" xfId="188"/>
    <cellStyle name="Comma0 - Modelo1" xfId="189"/>
    <cellStyle name="Comma0 - Style1" xfId="190"/>
    <cellStyle name="Comma1 - Modelo2" xfId="191"/>
    <cellStyle name="Comma1 - Style2" xfId="192"/>
    <cellStyle name="Company Name" xfId="553"/>
    <cellStyle name="ContentsHyperlink" xfId="193"/>
    <cellStyle name="Copied" xfId="194"/>
    <cellStyle name="Cost_category_heading" xfId="195"/>
    <cellStyle name="COST1" xfId="196"/>
    <cellStyle name="Costs" xfId="197"/>
    <cellStyle name="Cuadro 1" xfId="554"/>
    <cellStyle name="Currency (2dp)" xfId="198"/>
    <cellStyle name="Currency [0]" xfId="199"/>
    <cellStyle name="Currency [00]" xfId="200"/>
    <cellStyle name="Currency Dollar" xfId="201"/>
    <cellStyle name="Currency Dollar (2dp)" xfId="202"/>
    <cellStyle name="Currency EUR" xfId="203"/>
    <cellStyle name="Currency EUR (2dp)" xfId="204"/>
    <cellStyle name="Currency Euro" xfId="205"/>
    <cellStyle name="Currency Euro (2dp)" xfId="206"/>
    <cellStyle name="Currency GBP" xfId="207"/>
    <cellStyle name="Currency GBP (2dp)" xfId="208"/>
    <cellStyle name="Currency Pound" xfId="209"/>
    <cellStyle name="Currency Pound (2dp)" xfId="210"/>
    <cellStyle name="Currency Thousands" xfId="555"/>
    <cellStyle name="Currency USD" xfId="211"/>
    <cellStyle name="Currency USD (2dp)" xfId="212"/>
    <cellStyle name="Currency_!!!GO" xfId="556"/>
    <cellStyle name="Currency0" xfId="213"/>
    <cellStyle name="CustomStyle1" xfId="557"/>
    <cellStyle name="CustomStyle10" xfId="558"/>
    <cellStyle name="CustomStyle11" xfId="559"/>
    <cellStyle name="CustomStyle12" xfId="560"/>
    <cellStyle name="CustomStyle13" xfId="561"/>
    <cellStyle name="CustomStyle14" xfId="562"/>
    <cellStyle name="CustomStyle15" xfId="563"/>
    <cellStyle name="CustomStyle16" xfId="564"/>
    <cellStyle name="CustomStyle17" xfId="565"/>
    <cellStyle name="CustomStyle18" xfId="566"/>
    <cellStyle name="CustomStyle19" xfId="567"/>
    <cellStyle name="CustomStyle2" xfId="568"/>
    <cellStyle name="CustomStyle20" xfId="569"/>
    <cellStyle name="CustomStyle21" xfId="570"/>
    <cellStyle name="CustomStyle22" xfId="571"/>
    <cellStyle name="CustomStyle23" xfId="572"/>
    <cellStyle name="CustomStyle3" xfId="573"/>
    <cellStyle name="CustomStyle4" xfId="574"/>
    <cellStyle name="CustomStyle5" xfId="575"/>
    <cellStyle name="CustomStyle6" xfId="576"/>
    <cellStyle name="CustomStyle7" xfId="577"/>
    <cellStyle name="CustomStyle8" xfId="578"/>
    <cellStyle name="CustomStyle9" xfId="579"/>
    <cellStyle name="Date" xfId="214"/>
    <cellStyle name="Date (Month)" xfId="215"/>
    <cellStyle name="Date (Year)" xfId="216"/>
    <cellStyle name="Date Short" xfId="217"/>
    <cellStyle name="Date_Analisis de escenarios Area Virtual Movil" xfId="580"/>
    <cellStyle name="Description" xfId="218"/>
    <cellStyle name="Dia" xfId="219"/>
    <cellStyle name="Diseño" xfId="3"/>
    <cellStyle name="Diseño 2" xfId="220"/>
    <cellStyle name="Diseño_04. Compensación TM_TdP Abr08" xfId="221"/>
    <cellStyle name="Encabez1" xfId="222"/>
    <cellStyle name="Encabez2" xfId="223"/>
    <cellStyle name="Énfasis3 2" xfId="224"/>
    <cellStyle name="Enter Currency (0)" xfId="225"/>
    <cellStyle name="Enter Currency (2)" xfId="226"/>
    <cellStyle name="Enter Units (0)" xfId="227"/>
    <cellStyle name="Enter Units (1)" xfId="228"/>
    <cellStyle name="Enter Units (2)" xfId="229"/>
    <cellStyle name="Entered" xfId="230"/>
    <cellStyle name="Entrée" xfId="231"/>
    <cellStyle name="Estilo 1" xfId="232"/>
    <cellStyle name="Estilo 1 2" xfId="233"/>
    <cellStyle name="Estilo 2" xfId="234"/>
    <cellStyle name="Estilo 3" xfId="235"/>
    <cellStyle name="Estilo 4" xfId="236"/>
    <cellStyle name="Euro" xfId="237"/>
    <cellStyle name="Explanatory Text" xfId="238"/>
    <cellStyle name="F2" xfId="239"/>
    <cellStyle name="F3" xfId="240"/>
    <cellStyle name="F4" xfId="241"/>
    <cellStyle name="F5" xfId="242"/>
    <cellStyle name="F6" xfId="243"/>
    <cellStyle name="F7" xfId="244"/>
    <cellStyle name="F8" xfId="245"/>
    <cellStyle name="FAB level" xfId="246"/>
    <cellStyle name="FAB no" xfId="247"/>
    <cellStyle name="FAB price" xfId="248"/>
    <cellStyle name="Fecha" xfId="249"/>
    <cellStyle name="Fecha1 - Estilo1" xfId="250"/>
    <cellStyle name="Fijo" xfId="251"/>
    <cellStyle name="Finan?ní0" xfId="581"/>
    <cellStyle name="Financial_calc" xfId="252"/>
    <cellStyle name="Financiero" xfId="253"/>
    <cellStyle name="Finanční0" xfId="582"/>
    <cellStyle name="Fixed" xfId="254"/>
    <cellStyle name="Footnote" xfId="583"/>
    <cellStyle name="Good" xfId="255"/>
    <cellStyle name="Grey" xfId="256"/>
    <cellStyle name="H0" xfId="257"/>
    <cellStyle name="H1" xfId="258"/>
    <cellStyle name="H2" xfId="259"/>
    <cellStyle name="H3" xfId="260"/>
    <cellStyle name="H4" xfId="261"/>
    <cellStyle name="Header" xfId="262"/>
    <cellStyle name="Header1" xfId="263"/>
    <cellStyle name="Header2" xfId="264"/>
    <cellStyle name="Heading" xfId="265"/>
    <cellStyle name="Heading 1" xfId="266"/>
    <cellStyle name="Heading 2" xfId="267"/>
    <cellStyle name="Heading 3" xfId="268"/>
    <cellStyle name="Heading 4" xfId="269"/>
    <cellStyle name="HEADING1" xfId="270"/>
    <cellStyle name="HEADING2" xfId="271"/>
    <cellStyle name="Hidden" xfId="584"/>
    <cellStyle name="Highlight" xfId="272"/>
    <cellStyle name="Hipervínculo 2" xfId="273"/>
    <cellStyle name="Hipervínculo 3" xfId="274"/>
    <cellStyle name="Hyperlink" xfId="275"/>
    <cellStyle name="Index" xfId="276"/>
    <cellStyle name="Initial Inputs" xfId="277"/>
    <cellStyle name="InLink" xfId="585"/>
    <cellStyle name="Input" xfId="278"/>
    <cellStyle name="Input %" xfId="586"/>
    <cellStyle name="Input [yellow]" xfId="279"/>
    <cellStyle name="Input 0" xfId="587"/>
    <cellStyle name="Input 0,0" xfId="588"/>
    <cellStyle name="Input 2" xfId="14"/>
    <cellStyle name="Input calculation" xfId="280"/>
    <cellStyle name="Input Cells" xfId="281"/>
    <cellStyle name="Input data" xfId="282"/>
    <cellStyle name="Input estimate" xfId="283"/>
    <cellStyle name="Input Link" xfId="284"/>
    <cellStyle name="Input link (different workbook)" xfId="285"/>
    <cellStyle name="Input link_Demand Summary" xfId="286"/>
    <cellStyle name="Input parameter" xfId="287"/>
    <cellStyle name="Input_00 Costos Plataforma de Pago" xfId="589"/>
    <cellStyle name="InputBlueFont" xfId="288"/>
    <cellStyle name="Jun" xfId="289"/>
    <cellStyle name="Komma [0]_RESULTS" xfId="290"/>
    <cellStyle name="Komma_RESULTS" xfId="291"/>
    <cellStyle name="Link" xfId="590"/>
    <cellStyle name="Link Currency (0)" xfId="292"/>
    <cellStyle name="Link Currency (2)" xfId="293"/>
    <cellStyle name="Link Units (0)" xfId="294"/>
    <cellStyle name="Link Units (1)" xfId="295"/>
    <cellStyle name="Link Units (2)" xfId="296"/>
    <cellStyle name="Linked" xfId="297"/>
    <cellStyle name="Linked Cell" xfId="298"/>
    <cellStyle name="Linked Cells" xfId="299"/>
    <cellStyle name="Lock" xfId="591"/>
    <cellStyle name="Lock partiel" xfId="592"/>
    <cellStyle name="Logic_input" xfId="300"/>
    <cellStyle name="Main Title" xfId="301"/>
    <cellStyle name="MARQ" xfId="302"/>
    <cellStyle name="Migliaia (0)" xfId="593"/>
    <cellStyle name="Migliaia_1641SM D" xfId="303"/>
    <cellStyle name="Millares" xfId="2" builtinId="3"/>
    <cellStyle name="Millares [0] 2" xfId="594"/>
    <cellStyle name="Millares [0] 3" xfId="595"/>
    <cellStyle name="Millares 10" xfId="304"/>
    <cellStyle name="Millares 11" xfId="305"/>
    <cellStyle name="Millares 12" xfId="306"/>
    <cellStyle name="Millares 13" xfId="307"/>
    <cellStyle name="Millares 14" xfId="308"/>
    <cellStyle name="Millares 15" xfId="309"/>
    <cellStyle name="Millares 16" xfId="310"/>
    <cellStyle name="Millares 17" xfId="311"/>
    <cellStyle name="Millares 18" xfId="312"/>
    <cellStyle name="Millares 19" xfId="596"/>
    <cellStyle name="Millares 2" xfId="4"/>
    <cellStyle name="Millares 2 2" xfId="313"/>
    <cellStyle name="Millares 2 3" xfId="597"/>
    <cellStyle name="Millares 2 4" xfId="598"/>
    <cellStyle name="Millares 2_Actas_Val_Fin_AM_Octubre_2008" xfId="314"/>
    <cellStyle name="Millares 20" xfId="599"/>
    <cellStyle name="Millares 21" xfId="600"/>
    <cellStyle name="Millares 3" xfId="315"/>
    <cellStyle name="Millares 4" xfId="316"/>
    <cellStyle name="Millares 5" xfId="317"/>
    <cellStyle name="Millares 6" xfId="318"/>
    <cellStyle name="Millares 7" xfId="319"/>
    <cellStyle name="Millares 8" xfId="320"/>
    <cellStyle name="Millares 9" xfId="321"/>
    <cellStyle name="Milliers [0]_!!!GO" xfId="322"/>
    <cellStyle name="Milliers_!!!GO" xfId="323"/>
    <cellStyle name="Millions" xfId="601"/>
    <cellStyle name="Missing" xfId="324"/>
    <cellStyle name="Model" xfId="325"/>
    <cellStyle name="Moeda [0]_CUSTOSGSMinfrasites" xfId="326"/>
    <cellStyle name="Moeda_CUSTOSGSMinfrasites" xfId="327"/>
    <cellStyle name="Moneda 2" xfId="602"/>
    <cellStyle name="Monétaire [0]_!!!GO" xfId="328"/>
    <cellStyle name="Monétaire_!!!GO" xfId="329"/>
    <cellStyle name="Monetario" xfId="330"/>
    <cellStyle name="Monetario0" xfId="331"/>
    <cellStyle name="Month_input" xfId="332"/>
    <cellStyle name="Name" xfId="333"/>
    <cellStyle name="neg0.0" xfId="603"/>
    <cellStyle name="NivelCol_" xfId="334"/>
    <cellStyle name="no dec" xfId="335"/>
    <cellStyle name="No-definido" xfId="336"/>
    <cellStyle name="Normal" xfId="0" builtinId="0"/>
    <cellStyle name="Normal - Style1" xfId="337"/>
    <cellStyle name="Normal 10" xfId="338"/>
    <cellStyle name="Normal 11" xfId="339"/>
    <cellStyle name="Normal 12" xfId="340"/>
    <cellStyle name="Normal 13" xfId="341"/>
    <cellStyle name="Normal 14" xfId="342"/>
    <cellStyle name="Normal 15" xfId="343"/>
    <cellStyle name="Normal 16" xfId="344"/>
    <cellStyle name="Normal 17" xfId="345"/>
    <cellStyle name="Normal 18" xfId="346"/>
    <cellStyle name="Normal 19" xfId="347"/>
    <cellStyle name="Normal 2" xfId="5"/>
    <cellStyle name="Normal 2 2" xfId="348"/>
    <cellStyle name="Normal 2 5" xfId="604"/>
    <cellStyle name="Normal 2_I. T. Fija 1" xfId="605"/>
    <cellStyle name="Normal 20" xfId="349"/>
    <cellStyle name="Normal 21" xfId="350"/>
    <cellStyle name="Normal 22" xfId="483"/>
    <cellStyle name="Normal 23" xfId="606"/>
    <cellStyle name="Normal 3" xfId="6"/>
    <cellStyle name="Normal 4" xfId="351"/>
    <cellStyle name="Normal 5" xfId="352"/>
    <cellStyle name="Normal 6" xfId="13"/>
    <cellStyle name="Normal 7" xfId="353"/>
    <cellStyle name="Normal 8" xfId="354"/>
    <cellStyle name="Normal 9" xfId="355"/>
    <cellStyle name="Normal bold" xfId="607"/>
    <cellStyle name="Normal Font Size" xfId="608"/>
    <cellStyle name="Normal Italics" xfId="609"/>
    <cellStyle name="Normal_GASTOS  DE HOLA PERU gastos atencion al cliente" xfId="7"/>
    <cellStyle name="Normal_Gastos Tarjetas a sep v2" xfId="8"/>
    <cellStyle name="Normal_INVERSIÓN Y DEPRECIACIÓN(f)" xfId="9"/>
    <cellStyle name="Normal_Tráfico saliente prepago" xfId="10"/>
    <cellStyle name="Normale_1511" xfId="356"/>
    <cellStyle name="Normalny_56.Podstawowe dane o woj.(1)" xfId="610"/>
    <cellStyle name="Not In Use" xfId="357"/>
    <cellStyle name="Note" xfId="358"/>
    <cellStyle name="note3" xfId="359"/>
    <cellStyle name="notes" xfId="360"/>
    <cellStyle name="Number" xfId="361"/>
    <cellStyle name="Number (2dp)" xfId="362"/>
    <cellStyle name="Number_book1" xfId="363"/>
    <cellStyle name="Obsolete" xfId="364"/>
    <cellStyle name="Œ…‹æØ‚è [0.00]_!!!GO" xfId="365"/>
    <cellStyle name="Œ…‹æØ‚è_!!!GO" xfId="366"/>
    <cellStyle name="One-Decimal" xfId="367"/>
    <cellStyle name="Output" xfId="368"/>
    <cellStyle name="Output Amounts" xfId="369"/>
    <cellStyle name="per.style" xfId="370"/>
    <cellStyle name="Percent (0)" xfId="371"/>
    <cellStyle name="Percent [0]" xfId="372"/>
    <cellStyle name="Percent [00]" xfId="373"/>
    <cellStyle name="Percent [2]" xfId="374"/>
    <cellStyle name="Percent_Book1" xfId="375"/>
    <cellStyle name="Percentage" xfId="376"/>
    <cellStyle name="Percentage (2dp)" xfId="377"/>
    <cellStyle name="Percentage_book1" xfId="378"/>
    <cellStyle name="Placeholder" xfId="379"/>
    <cellStyle name="Porcentaje" xfId="380"/>
    <cellStyle name="Porcentaje 2" xfId="485"/>
    <cellStyle name="Porcentual" xfId="11" builtinId="5"/>
    <cellStyle name="Porcentual 10" xfId="381"/>
    <cellStyle name="Porcentual 10 2" xfId="484"/>
    <cellStyle name="Porcentual 11" xfId="611"/>
    <cellStyle name="Porcentual 12" xfId="612"/>
    <cellStyle name="Porcentual 2" xfId="12"/>
    <cellStyle name="Porcentual 2 2" xfId="15"/>
    <cellStyle name="Porcentual 3" xfId="382"/>
    <cellStyle name="Porcentual 4" xfId="383"/>
    <cellStyle name="Porcentual 5" xfId="384"/>
    <cellStyle name="Porcentual 6" xfId="385"/>
    <cellStyle name="Porcentual 7" xfId="386"/>
    <cellStyle name="Porcentual 8" xfId="387"/>
    <cellStyle name="Porcentual 8 2" xfId="388"/>
    <cellStyle name="Porcentual 8 2 2" xfId="389"/>
    <cellStyle name="Porcentual 8 2 3" xfId="390"/>
    <cellStyle name="Porcentual 8 2 3 2" xfId="391"/>
    <cellStyle name="Porcentual 8 2 3 2 2" xfId="392"/>
    <cellStyle name="Porcentual 8 2 3 2 2 2" xfId="393"/>
    <cellStyle name="Porcentual 9" xfId="394"/>
    <cellStyle name="PrePop Currency (0)" xfId="395"/>
    <cellStyle name="PrePop Currency (2)" xfId="396"/>
    <cellStyle name="PrePop Units (0)" xfId="397"/>
    <cellStyle name="PrePop Units (1)" xfId="398"/>
    <cellStyle name="PrePop Units (2)" xfId="399"/>
    <cellStyle name="Pricing" xfId="400"/>
    <cellStyle name="Product Sub-Headng" xfId="401"/>
    <cellStyle name="PSChar" xfId="402"/>
    <cellStyle name="PSDate" xfId="403"/>
    <cellStyle name="PSDec" xfId="404"/>
    <cellStyle name="PSHeading" xfId="405"/>
    <cellStyle name="PSInt" xfId="406"/>
    <cellStyle name="PSSpacer" xfId="407"/>
    <cellStyle name="Punto" xfId="408"/>
    <cellStyle name="Punto0" xfId="409"/>
    <cellStyle name="Punto0 - Estilo2" xfId="410"/>
    <cellStyle name="Red Heading" xfId="411"/>
    <cellStyle name="Ref Numbers" xfId="613"/>
    <cellStyle name="Reference" xfId="412"/>
    <cellStyle name="Result" xfId="413"/>
    <cellStyle name="RevList" xfId="414"/>
    <cellStyle name="RM" xfId="415"/>
    <cellStyle name="ROF no" xfId="416"/>
    <cellStyle name="ROF price" xfId="417"/>
    <cellStyle name="Row and Column Total" xfId="418"/>
    <cellStyle name="Row Heading" xfId="419"/>
    <cellStyle name="Row Heading (No Wrap)" xfId="420"/>
    <cellStyle name="Row Heading_Demand Summary" xfId="421"/>
    <cellStyle name="Row label" xfId="422"/>
    <cellStyle name="Row label (indent)" xfId="423"/>
    <cellStyle name="Row label_Book1" xfId="424"/>
    <cellStyle name="Row Total" xfId="425"/>
    <cellStyle name="Section" xfId="426"/>
    <cellStyle name="Section name" xfId="614"/>
    <cellStyle name="Section Title" xfId="427"/>
    <cellStyle name="Section_Title" xfId="428"/>
    <cellStyle name="Separador de milhares [0]_Junio 1999" xfId="429"/>
    <cellStyle name="Separador de milhares_Anexo - Target Precios_Proseco_12-04-04" xfId="430"/>
    <cellStyle name="Sheet_description" xfId="431"/>
    <cellStyle name="Small Number" xfId="432"/>
    <cellStyle name="Small Percentage" xfId="433"/>
    <cellStyle name="Small Print" xfId="434"/>
    <cellStyle name="Source" xfId="435"/>
    <cellStyle name="Source Line" xfId="615"/>
    <cellStyle name="Spreadsheet title" xfId="616"/>
    <cellStyle name="Standard_IPISV7" xfId="436"/>
    <cellStyle name="StrategyDependent" xfId="437"/>
    <cellStyle name="Style 1" xfId="617"/>
    <cellStyle name="Sub_title" xfId="438"/>
    <cellStyle name="subhead" xfId="439"/>
    <cellStyle name="Subheading" xfId="440"/>
    <cellStyle name="Sub-Section Title" xfId="441"/>
    <cellStyle name="Subsection_title" xfId="442"/>
    <cellStyle name="Subtitle" xfId="618"/>
    <cellStyle name="Sub-titulo" xfId="619"/>
    <cellStyle name="Sub-titulo 2" xfId="620"/>
    <cellStyle name="Subtotal" xfId="443"/>
    <cellStyle name="Sub-total" xfId="621"/>
    <cellStyle name="Sub-total row" xfId="444"/>
    <cellStyle name="SUPPR" xfId="445"/>
    <cellStyle name="Table finish row" xfId="446"/>
    <cellStyle name="Table Heading" xfId="622"/>
    <cellStyle name="Table shading" xfId="447"/>
    <cellStyle name="Table unfinish row" xfId="448"/>
    <cellStyle name="Table unshading" xfId="449"/>
    <cellStyle name="Table-#" xfId="623"/>
    <cellStyle name="Table_Header" xfId="624"/>
    <cellStyle name="Table-Headings" xfId="625"/>
    <cellStyle name="Table-Titles" xfId="626"/>
    <cellStyle name="taples Plaza" xfId="450"/>
    <cellStyle name="Temp" xfId="451"/>
    <cellStyle name="Text" xfId="452"/>
    <cellStyle name="Text Indent A" xfId="453"/>
    <cellStyle name="Text Indent B" xfId="454"/>
    <cellStyle name="Text Indent C" xfId="455"/>
    <cellStyle name="Text_input" xfId="456"/>
    <cellStyle name="Thousands" xfId="627"/>
    <cellStyle name="Thousands [0]" xfId="628"/>
    <cellStyle name="Title" xfId="457"/>
    <cellStyle name="Title Heading" xfId="458"/>
    <cellStyle name="Title Line" xfId="629"/>
    <cellStyle name="Title_Capex depreciated" xfId="459"/>
    <cellStyle name="Titulo-Seccion" xfId="630"/>
    <cellStyle name="Top Row" xfId="631"/>
    <cellStyle name="Total cell" xfId="460"/>
    <cellStyle name="Total row" xfId="461"/>
    <cellStyle name="Unhighlight" xfId="462"/>
    <cellStyle name="Unprot" xfId="463"/>
    <cellStyle name="Unprot$" xfId="464"/>
    <cellStyle name="Unprotect" xfId="465"/>
    <cellStyle name="Unsure" xfId="632"/>
    <cellStyle name="Untotal row" xfId="466"/>
    <cellStyle name="Valuta (0)" xfId="633"/>
    <cellStyle name="Valuta [0]_RESULTS" xfId="467"/>
    <cellStyle name="Valuta_1 new STM 16 ring" xfId="468"/>
    <cellStyle name="Warning Text" xfId="469"/>
    <cellStyle name="Worksheet_Title" xfId="470"/>
    <cellStyle name="WP Header" xfId="471"/>
    <cellStyle name="Year" xfId="634"/>
    <cellStyle name="千位[0]_pldt" xfId="472"/>
    <cellStyle name="千位_pldt" xfId="473"/>
    <cellStyle name="千位分隔[0]_1" xfId="474"/>
    <cellStyle name="千位分隔_1" xfId="475"/>
    <cellStyle name="常规_1" xfId="476"/>
    <cellStyle name="桁区切り [0.00]_Calc. C-J" xfId="477"/>
    <cellStyle name="桁区切り_Calc. C-J" xfId="478"/>
    <cellStyle name="標準_1951_0006" xfId="635"/>
    <cellStyle name="货币[0]_1" xfId="479"/>
    <cellStyle name="货币_1" xfId="480"/>
    <cellStyle name="通貨 [0.00]_Calc. C-J" xfId="481"/>
    <cellStyle name="通貨_Calc. C-J" xfId="4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'Gastos TPP'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Tr&#225;fico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Descuento del distribuidor'!A1"/><Relationship Id="rId9" Type="http://schemas.openxmlformats.org/officeDocument/2006/relationships/hyperlink" Target="#Anualidades_sistema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Tipos de cambio'!A1"/><Relationship Id="rId3" Type="http://schemas.openxmlformats.org/officeDocument/2006/relationships/hyperlink" Target="#Anualidades!A1"/><Relationship Id="rId7" Type="http://schemas.openxmlformats.org/officeDocument/2006/relationships/hyperlink" Target="#'CAPEX y OPEX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11" Type="http://schemas.openxmlformats.org/officeDocument/2006/relationships/hyperlink" Target="#'Anualidades_sistemas tarjetas'!A1"/><Relationship Id="rId5" Type="http://schemas.openxmlformats.org/officeDocument/2006/relationships/hyperlink" Target="#'Descuento del distribuidor'!A1"/><Relationship Id="rId10" Type="http://schemas.openxmlformats.org/officeDocument/2006/relationships/hyperlink" Target="#Anualidades_sistemas!A1"/><Relationship Id="rId4" Type="http://schemas.openxmlformats.org/officeDocument/2006/relationships/hyperlink" Target="#'Gastos TPP'!A1"/><Relationship Id="rId9" Type="http://schemas.openxmlformats.org/officeDocument/2006/relationships/hyperlink" Target="#Anualidades_plataform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Anualidades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'Descuento del distribuidor'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Gastos TPP'!A1"/><Relationship Id="rId9" Type="http://schemas.openxmlformats.org/officeDocument/2006/relationships/hyperlink" Target="#Anualidades_sistema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plataforma!A1"/><Relationship Id="rId3" Type="http://schemas.openxmlformats.org/officeDocument/2006/relationships/hyperlink" Target="#Anualidades!A1"/><Relationship Id="rId7" Type="http://schemas.openxmlformats.org/officeDocument/2006/relationships/hyperlink" Target="#'Tipos de cambio'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Tr&#225;fico!A1"/><Relationship Id="rId5" Type="http://schemas.openxmlformats.org/officeDocument/2006/relationships/hyperlink" Target="#'Descuento del distribuidor'!A1"/><Relationship Id="rId10" Type="http://schemas.openxmlformats.org/officeDocument/2006/relationships/hyperlink" Target="#'Anualidades_sistemas tarjetas'!A1"/><Relationship Id="rId4" Type="http://schemas.openxmlformats.org/officeDocument/2006/relationships/hyperlink" Target="#'Gastos TPP'!A1"/><Relationship Id="rId9" Type="http://schemas.openxmlformats.org/officeDocument/2006/relationships/hyperlink" Target="#Anualidades_sistemas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Anualidades_sistemas!A1"/><Relationship Id="rId3" Type="http://schemas.openxmlformats.org/officeDocument/2006/relationships/hyperlink" Target="#'Gastos TPP'!A1"/><Relationship Id="rId7" Type="http://schemas.openxmlformats.org/officeDocument/2006/relationships/hyperlink" Target="#Anualidades_plataforma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CAPEX y OPEX'!A1"/><Relationship Id="rId5" Type="http://schemas.openxmlformats.org/officeDocument/2006/relationships/hyperlink" Target="#Tr&#225;fico!A1"/><Relationship Id="rId4" Type="http://schemas.openxmlformats.org/officeDocument/2006/relationships/hyperlink" Target="#'Descuento del distribuidor'!A1"/><Relationship Id="rId9" Type="http://schemas.openxmlformats.org/officeDocument/2006/relationships/hyperlink" Target="#'Anualidades_sistemas tarjeta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3</xdr:col>
      <xdr:colOff>342900</xdr:colOff>
      <xdr:row>9</xdr:row>
      <xdr:rowOff>19050</xdr:rowOff>
    </xdr:to>
    <xdr:sp macro="" textlink="">
      <xdr:nvSpPr>
        <xdr:cNvPr id="2061" name="AutoShape 1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485775</xdr:colOff>
      <xdr:row>2</xdr:row>
      <xdr:rowOff>38100</xdr:rowOff>
    </xdr:from>
    <xdr:to>
      <xdr:col>6</xdr:col>
      <xdr:colOff>381000</xdr:colOff>
      <xdr:row>9</xdr:row>
      <xdr:rowOff>19050</xdr:rowOff>
    </xdr:to>
    <xdr:sp macro="" textlink="">
      <xdr:nvSpPr>
        <xdr:cNvPr id="2062" name="AutoShape 1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523875</xdr:colOff>
      <xdr:row>2</xdr:row>
      <xdr:rowOff>38100</xdr:rowOff>
    </xdr:from>
    <xdr:to>
      <xdr:col>10</xdr:col>
      <xdr:colOff>476250</xdr:colOff>
      <xdr:row>9</xdr:row>
      <xdr:rowOff>19050</xdr:rowOff>
    </xdr:to>
    <xdr:sp macro="" textlink="">
      <xdr:nvSpPr>
        <xdr:cNvPr id="2063" name="AutoShape 1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11</xdr:col>
      <xdr:colOff>19050</xdr:colOff>
      <xdr:row>2</xdr:row>
      <xdr:rowOff>38100</xdr:rowOff>
    </xdr:from>
    <xdr:to>
      <xdr:col>14</xdr:col>
      <xdr:colOff>581025</xdr:colOff>
      <xdr:row>9</xdr:row>
      <xdr:rowOff>19050</xdr:rowOff>
    </xdr:to>
    <xdr:sp macro="" textlink="">
      <xdr:nvSpPr>
        <xdr:cNvPr id="2064" name="AutoShape 16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13</xdr:col>
      <xdr:colOff>66675</xdr:colOff>
      <xdr:row>2</xdr:row>
      <xdr:rowOff>66675</xdr:rowOff>
    </xdr:from>
    <xdr:to>
      <xdr:col>14</xdr:col>
      <xdr:colOff>514350</xdr:colOff>
      <xdr:row>3</xdr:row>
      <xdr:rowOff>85725</xdr:rowOff>
    </xdr:to>
    <xdr:sp macro="" textlink="">
      <xdr:nvSpPr>
        <xdr:cNvPr id="2065" name="AutoShape 1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13</xdr:col>
      <xdr:colOff>66675</xdr:colOff>
      <xdr:row>3</xdr:row>
      <xdr:rowOff>123825</xdr:rowOff>
    </xdr:from>
    <xdr:to>
      <xdr:col>14</xdr:col>
      <xdr:colOff>514350</xdr:colOff>
      <xdr:row>4</xdr:row>
      <xdr:rowOff>142875</xdr:rowOff>
    </xdr:to>
    <xdr:sp macro="" textlink="">
      <xdr:nvSpPr>
        <xdr:cNvPr id="2066" name="AutoShape 18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13</xdr:col>
      <xdr:colOff>66675</xdr:colOff>
      <xdr:row>5</xdr:row>
      <xdr:rowOff>19050</xdr:rowOff>
    </xdr:from>
    <xdr:to>
      <xdr:col>14</xdr:col>
      <xdr:colOff>514350</xdr:colOff>
      <xdr:row>6</xdr:row>
      <xdr:rowOff>38100</xdr:rowOff>
    </xdr:to>
    <xdr:sp macro="" textlink="">
      <xdr:nvSpPr>
        <xdr:cNvPr id="2067" name="AutoShape 19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13</xdr:col>
      <xdr:colOff>66675</xdr:colOff>
      <xdr:row>6</xdr:row>
      <xdr:rowOff>66675</xdr:rowOff>
    </xdr:from>
    <xdr:to>
      <xdr:col>14</xdr:col>
      <xdr:colOff>514350</xdr:colOff>
      <xdr:row>7</xdr:row>
      <xdr:rowOff>85725</xdr:rowOff>
    </xdr:to>
    <xdr:sp macro="" textlink="">
      <xdr:nvSpPr>
        <xdr:cNvPr id="2068" name="AutoShape 20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13</xdr:col>
      <xdr:colOff>66675</xdr:colOff>
      <xdr:row>7</xdr:row>
      <xdr:rowOff>123825</xdr:rowOff>
    </xdr:from>
    <xdr:to>
      <xdr:col>14</xdr:col>
      <xdr:colOff>514350</xdr:colOff>
      <xdr:row>8</xdr:row>
      <xdr:rowOff>142875</xdr:rowOff>
    </xdr:to>
    <xdr:sp macro="" textlink="">
      <xdr:nvSpPr>
        <xdr:cNvPr id="2069" name="AutoShape 21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38100</xdr:colOff>
      <xdr:row>7</xdr:row>
      <xdr:rowOff>85725</xdr:rowOff>
    </xdr:from>
    <xdr:to>
      <xdr:col>8</xdr:col>
      <xdr:colOff>104775</xdr:colOff>
      <xdr:row>8</xdr:row>
      <xdr:rowOff>133350</xdr:rowOff>
    </xdr:to>
    <xdr:sp macro="" textlink="">
      <xdr:nvSpPr>
        <xdr:cNvPr id="2074" name="AutoShape 26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200025</xdr:colOff>
      <xdr:row>7</xdr:row>
      <xdr:rowOff>85725</xdr:rowOff>
    </xdr:from>
    <xdr:to>
      <xdr:col>9</xdr:col>
      <xdr:colOff>266700</xdr:colOff>
      <xdr:row>8</xdr:row>
      <xdr:rowOff>133350</xdr:rowOff>
    </xdr:to>
    <xdr:sp macro="" textlink="">
      <xdr:nvSpPr>
        <xdr:cNvPr id="2077" name="AutoShape 29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342900</xdr:colOff>
      <xdr:row>7</xdr:row>
      <xdr:rowOff>85725</xdr:rowOff>
    </xdr:from>
    <xdr:to>
      <xdr:col>10</xdr:col>
      <xdr:colOff>409575</xdr:colOff>
      <xdr:row>8</xdr:row>
      <xdr:rowOff>133350</xdr:rowOff>
    </xdr:to>
    <xdr:sp macro="" textlink="">
      <xdr:nvSpPr>
        <xdr:cNvPr id="2078" name="AutoShape 30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2124075</xdr:colOff>
      <xdr:row>9</xdr:row>
      <xdr:rowOff>19050</xdr:rowOff>
    </xdr:to>
    <xdr:sp macro="" textlink="">
      <xdr:nvSpPr>
        <xdr:cNvPr id="3082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2266950</xdr:colOff>
      <xdr:row>2</xdr:row>
      <xdr:rowOff>38100</xdr:rowOff>
    </xdr:from>
    <xdr:to>
      <xdr:col>2</xdr:col>
      <xdr:colOff>4657725</xdr:colOff>
      <xdr:row>9</xdr:row>
      <xdr:rowOff>19050</xdr:rowOff>
    </xdr:to>
    <xdr:sp macro="" textlink="">
      <xdr:nvSpPr>
        <xdr:cNvPr id="3083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2</xdr:col>
      <xdr:colOff>4800600</xdr:colOff>
      <xdr:row>2</xdr:row>
      <xdr:rowOff>38100</xdr:rowOff>
    </xdr:from>
    <xdr:to>
      <xdr:col>3</xdr:col>
      <xdr:colOff>1809750</xdr:colOff>
      <xdr:row>9</xdr:row>
      <xdr:rowOff>19050</xdr:rowOff>
    </xdr:to>
    <xdr:sp macro="" textlink="">
      <xdr:nvSpPr>
        <xdr:cNvPr id="3084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4</xdr:col>
      <xdr:colOff>133350</xdr:colOff>
      <xdr:row>2</xdr:row>
      <xdr:rowOff>38100</xdr:rowOff>
    </xdr:from>
    <xdr:to>
      <xdr:col>6</xdr:col>
      <xdr:colOff>447675</xdr:colOff>
      <xdr:row>9</xdr:row>
      <xdr:rowOff>19050</xdr:rowOff>
    </xdr:to>
    <xdr:sp macro="" textlink="">
      <xdr:nvSpPr>
        <xdr:cNvPr id="3085" name="AutoShape 13"/>
        <xdr:cNvSpPr>
          <a:spLocks noChangeArrowheads="1"/>
        </xdr:cNvSpPr>
      </xdr:nvSpPr>
      <xdr:spPr bwMode="auto">
        <a:xfrm>
          <a:off x="8610600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4</xdr:col>
      <xdr:colOff>1400175</xdr:colOff>
      <xdr:row>2</xdr:row>
      <xdr:rowOff>66675</xdr:rowOff>
    </xdr:from>
    <xdr:to>
      <xdr:col>6</xdr:col>
      <xdr:colOff>381000</xdr:colOff>
      <xdr:row>3</xdr:row>
      <xdr:rowOff>85725</xdr:rowOff>
    </xdr:to>
    <xdr:sp macro="" textlink="">
      <xdr:nvSpPr>
        <xdr:cNvPr id="3086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77425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4</xdr:col>
      <xdr:colOff>1400175</xdr:colOff>
      <xdr:row>3</xdr:row>
      <xdr:rowOff>123825</xdr:rowOff>
    </xdr:from>
    <xdr:to>
      <xdr:col>6</xdr:col>
      <xdr:colOff>381000</xdr:colOff>
      <xdr:row>4</xdr:row>
      <xdr:rowOff>142875</xdr:rowOff>
    </xdr:to>
    <xdr:sp macro="" textlink="">
      <xdr:nvSpPr>
        <xdr:cNvPr id="3087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77425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4</xdr:col>
      <xdr:colOff>1400175</xdr:colOff>
      <xdr:row>5</xdr:row>
      <xdr:rowOff>19050</xdr:rowOff>
    </xdr:from>
    <xdr:to>
      <xdr:col>6</xdr:col>
      <xdr:colOff>381000</xdr:colOff>
      <xdr:row>6</xdr:row>
      <xdr:rowOff>38100</xdr:rowOff>
    </xdr:to>
    <xdr:sp macro="" textlink="">
      <xdr:nvSpPr>
        <xdr:cNvPr id="3088" name="AutoShape 16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77425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4</xdr:col>
      <xdr:colOff>1400175</xdr:colOff>
      <xdr:row>6</xdr:row>
      <xdr:rowOff>66675</xdr:rowOff>
    </xdr:from>
    <xdr:to>
      <xdr:col>6</xdr:col>
      <xdr:colOff>381000</xdr:colOff>
      <xdr:row>7</xdr:row>
      <xdr:rowOff>85725</xdr:rowOff>
    </xdr:to>
    <xdr:sp macro="" textlink="">
      <xdr:nvSpPr>
        <xdr:cNvPr id="3089" name="AutoShape 17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77425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4</xdr:col>
      <xdr:colOff>1400175</xdr:colOff>
      <xdr:row>7</xdr:row>
      <xdr:rowOff>123825</xdr:rowOff>
    </xdr:from>
    <xdr:to>
      <xdr:col>6</xdr:col>
      <xdr:colOff>381000</xdr:colOff>
      <xdr:row>8</xdr:row>
      <xdr:rowOff>142875</xdr:rowOff>
    </xdr:to>
    <xdr:sp macro="" textlink="">
      <xdr:nvSpPr>
        <xdr:cNvPr id="3090" name="AutoShape 18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77425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2</xdr:col>
      <xdr:colOff>4924425</xdr:colOff>
      <xdr:row>7</xdr:row>
      <xdr:rowOff>85725</xdr:rowOff>
    </xdr:from>
    <xdr:to>
      <xdr:col>3</xdr:col>
      <xdr:colOff>219075</xdr:colOff>
      <xdr:row>8</xdr:row>
      <xdr:rowOff>133350</xdr:rowOff>
    </xdr:to>
    <xdr:sp macro="" textlink="">
      <xdr:nvSpPr>
        <xdr:cNvPr id="3092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3</xdr:col>
      <xdr:colOff>314325</xdr:colOff>
      <xdr:row>7</xdr:row>
      <xdr:rowOff>85725</xdr:rowOff>
    </xdr:from>
    <xdr:to>
      <xdr:col>3</xdr:col>
      <xdr:colOff>990600</xdr:colOff>
      <xdr:row>8</xdr:row>
      <xdr:rowOff>133350</xdr:rowOff>
    </xdr:to>
    <xdr:sp macro="" textlink="">
      <xdr:nvSpPr>
        <xdr:cNvPr id="3093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3</xdr:col>
      <xdr:colOff>1066800</xdr:colOff>
      <xdr:row>7</xdr:row>
      <xdr:rowOff>85725</xdr:rowOff>
    </xdr:from>
    <xdr:to>
      <xdr:col>3</xdr:col>
      <xdr:colOff>1743075</xdr:colOff>
      <xdr:row>8</xdr:row>
      <xdr:rowOff>133350</xdr:rowOff>
    </xdr:to>
    <xdr:sp macro="" textlink="">
      <xdr:nvSpPr>
        <xdr:cNvPr id="3094" name="AutoShape 22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4</xdr:col>
      <xdr:colOff>371475</xdr:colOff>
      <xdr:row>9</xdr:row>
      <xdr:rowOff>19050</xdr:rowOff>
    </xdr:to>
    <xdr:sp macro="" textlink="">
      <xdr:nvSpPr>
        <xdr:cNvPr id="4106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4</xdr:col>
      <xdr:colOff>514350</xdr:colOff>
      <xdr:row>2</xdr:row>
      <xdr:rowOff>38100</xdr:rowOff>
    </xdr:from>
    <xdr:to>
      <xdr:col>7</xdr:col>
      <xdr:colOff>133350</xdr:colOff>
      <xdr:row>9</xdr:row>
      <xdr:rowOff>19050</xdr:rowOff>
    </xdr:to>
    <xdr:sp macro="" textlink="">
      <xdr:nvSpPr>
        <xdr:cNvPr id="4107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7</xdr:col>
      <xdr:colOff>276225</xdr:colOff>
      <xdr:row>2</xdr:row>
      <xdr:rowOff>38100</xdr:rowOff>
    </xdr:from>
    <xdr:to>
      <xdr:col>9</xdr:col>
      <xdr:colOff>819150</xdr:colOff>
      <xdr:row>9</xdr:row>
      <xdr:rowOff>19050</xdr:rowOff>
    </xdr:to>
    <xdr:sp macro="" textlink="">
      <xdr:nvSpPr>
        <xdr:cNvPr id="4108" name="AutoShape 12"/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10</xdr:col>
      <xdr:colOff>47625</xdr:colOff>
      <xdr:row>2</xdr:row>
      <xdr:rowOff>38100</xdr:rowOff>
    </xdr:from>
    <xdr:to>
      <xdr:col>12</xdr:col>
      <xdr:colOff>590550</xdr:colOff>
      <xdr:row>9</xdr:row>
      <xdr:rowOff>19050</xdr:rowOff>
    </xdr:to>
    <xdr:sp macro="" textlink="">
      <xdr:nvSpPr>
        <xdr:cNvPr id="4109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390525</xdr:colOff>
      <xdr:row>2</xdr:row>
      <xdr:rowOff>66675</xdr:rowOff>
    </xdr:from>
    <xdr:to>
      <xdr:col>12</xdr:col>
      <xdr:colOff>523875</xdr:colOff>
      <xdr:row>3</xdr:row>
      <xdr:rowOff>85725</xdr:rowOff>
    </xdr:to>
    <xdr:sp macro="" textlink="">
      <xdr:nvSpPr>
        <xdr:cNvPr id="4110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390525</xdr:colOff>
      <xdr:row>3</xdr:row>
      <xdr:rowOff>123825</xdr:rowOff>
    </xdr:from>
    <xdr:to>
      <xdr:col>12</xdr:col>
      <xdr:colOff>523875</xdr:colOff>
      <xdr:row>4</xdr:row>
      <xdr:rowOff>142875</xdr:rowOff>
    </xdr:to>
    <xdr:sp macro="" textlink="">
      <xdr:nvSpPr>
        <xdr:cNvPr id="4111" name="AutoShape 15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390525</xdr:colOff>
      <xdr:row>5</xdr:row>
      <xdr:rowOff>19050</xdr:rowOff>
    </xdr:from>
    <xdr:to>
      <xdr:col>12</xdr:col>
      <xdr:colOff>523875</xdr:colOff>
      <xdr:row>6</xdr:row>
      <xdr:rowOff>38100</xdr:rowOff>
    </xdr:to>
    <xdr:sp macro="" textlink="">
      <xdr:nvSpPr>
        <xdr:cNvPr id="4112" name="AutoShape 16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390525</xdr:colOff>
      <xdr:row>6</xdr:row>
      <xdr:rowOff>66675</xdr:rowOff>
    </xdr:from>
    <xdr:to>
      <xdr:col>12</xdr:col>
      <xdr:colOff>523875</xdr:colOff>
      <xdr:row>7</xdr:row>
      <xdr:rowOff>85725</xdr:rowOff>
    </xdr:to>
    <xdr:sp macro="" textlink="">
      <xdr:nvSpPr>
        <xdr:cNvPr id="4113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390525</xdr:colOff>
      <xdr:row>7</xdr:row>
      <xdr:rowOff>123825</xdr:rowOff>
    </xdr:from>
    <xdr:to>
      <xdr:col>12</xdr:col>
      <xdr:colOff>523875</xdr:colOff>
      <xdr:row>8</xdr:row>
      <xdr:rowOff>142875</xdr:rowOff>
    </xdr:to>
    <xdr:sp macro="" textlink="">
      <xdr:nvSpPr>
        <xdr:cNvPr id="4114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400050</xdr:colOff>
      <xdr:row>7</xdr:row>
      <xdr:rowOff>85725</xdr:rowOff>
    </xdr:from>
    <xdr:to>
      <xdr:col>8</xdr:col>
      <xdr:colOff>152400</xdr:colOff>
      <xdr:row>8</xdr:row>
      <xdr:rowOff>133350</xdr:rowOff>
    </xdr:to>
    <xdr:sp macro="" textlink="">
      <xdr:nvSpPr>
        <xdr:cNvPr id="4115" name="AutoShape 19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247650</xdr:colOff>
      <xdr:row>7</xdr:row>
      <xdr:rowOff>85725</xdr:rowOff>
    </xdr:from>
    <xdr:to>
      <xdr:col>9</xdr:col>
      <xdr:colOff>0</xdr:colOff>
      <xdr:row>8</xdr:row>
      <xdr:rowOff>133350</xdr:rowOff>
    </xdr:to>
    <xdr:sp macro="" textlink="">
      <xdr:nvSpPr>
        <xdr:cNvPr id="4116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76200</xdr:colOff>
      <xdr:row>7</xdr:row>
      <xdr:rowOff>85725</xdr:rowOff>
    </xdr:from>
    <xdr:to>
      <xdr:col>9</xdr:col>
      <xdr:colOff>752475</xdr:colOff>
      <xdr:row>8</xdr:row>
      <xdr:rowOff>133350</xdr:rowOff>
    </xdr:to>
    <xdr:sp macro="" textlink="">
      <xdr:nvSpPr>
        <xdr:cNvPr id="4117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38100</xdr:rowOff>
    </xdr:from>
    <xdr:to>
      <xdr:col>3</xdr:col>
      <xdr:colOff>1381125</xdr:colOff>
      <xdr:row>9</xdr:row>
      <xdr:rowOff>19050</xdr:rowOff>
    </xdr:to>
    <xdr:sp macro="" textlink="">
      <xdr:nvSpPr>
        <xdr:cNvPr id="1036" name="AutoShape 12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1524000</xdr:colOff>
      <xdr:row>2</xdr:row>
      <xdr:rowOff>38100</xdr:rowOff>
    </xdr:from>
    <xdr:to>
      <xdr:col>4</xdr:col>
      <xdr:colOff>1295400</xdr:colOff>
      <xdr:row>9</xdr:row>
      <xdr:rowOff>19050</xdr:rowOff>
    </xdr:to>
    <xdr:sp macro="" textlink="">
      <xdr:nvSpPr>
        <xdr:cNvPr id="1037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28575</xdr:colOff>
      <xdr:row>2</xdr:row>
      <xdr:rowOff>38100</xdr:rowOff>
    </xdr:from>
    <xdr:to>
      <xdr:col>6</xdr:col>
      <xdr:colOff>762000</xdr:colOff>
      <xdr:row>9</xdr:row>
      <xdr:rowOff>19050</xdr:rowOff>
    </xdr:to>
    <xdr:sp macro="" textlink="">
      <xdr:nvSpPr>
        <xdr:cNvPr id="1038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7</xdr:col>
      <xdr:colOff>38100</xdr:colOff>
      <xdr:row>2</xdr:row>
      <xdr:rowOff>38100</xdr:rowOff>
    </xdr:from>
    <xdr:to>
      <xdr:col>9</xdr:col>
      <xdr:colOff>676275</xdr:colOff>
      <xdr:row>9</xdr:row>
      <xdr:rowOff>19050</xdr:rowOff>
    </xdr:to>
    <xdr:sp macro="" textlink="">
      <xdr:nvSpPr>
        <xdr:cNvPr id="1039" name="AutoShape 15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8</xdr:col>
      <xdr:colOff>428625</xdr:colOff>
      <xdr:row>2</xdr:row>
      <xdr:rowOff>66675</xdr:rowOff>
    </xdr:from>
    <xdr:to>
      <xdr:col>9</xdr:col>
      <xdr:colOff>609600</xdr:colOff>
      <xdr:row>3</xdr:row>
      <xdr:rowOff>85725</xdr:rowOff>
    </xdr:to>
    <xdr:sp macro="" textlink="">
      <xdr:nvSpPr>
        <xdr:cNvPr id="1040" name="AutoShape 16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8</xdr:col>
      <xdr:colOff>428625</xdr:colOff>
      <xdr:row>3</xdr:row>
      <xdr:rowOff>123825</xdr:rowOff>
    </xdr:from>
    <xdr:to>
      <xdr:col>9</xdr:col>
      <xdr:colOff>609600</xdr:colOff>
      <xdr:row>4</xdr:row>
      <xdr:rowOff>142875</xdr:rowOff>
    </xdr:to>
    <xdr:sp macro="" textlink="">
      <xdr:nvSpPr>
        <xdr:cNvPr id="1041" name="AutoShape 1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8</xdr:col>
      <xdr:colOff>428625</xdr:colOff>
      <xdr:row>5</xdr:row>
      <xdr:rowOff>19050</xdr:rowOff>
    </xdr:from>
    <xdr:to>
      <xdr:col>9</xdr:col>
      <xdr:colOff>609600</xdr:colOff>
      <xdr:row>6</xdr:row>
      <xdr:rowOff>38100</xdr:rowOff>
    </xdr:to>
    <xdr:sp macro="" textlink="">
      <xdr:nvSpPr>
        <xdr:cNvPr id="1042" name="AutoShape 18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8</xdr:col>
      <xdr:colOff>428625</xdr:colOff>
      <xdr:row>6</xdr:row>
      <xdr:rowOff>66675</xdr:rowOff>
    </xdr:from>
    <xdr:to>
      <xdr:col>9</xdr:col>
      <xdr:colOff>609600</xdr:colOff>
      <xdr:row>7</xdr:row>
      <xdr:rowOff>85725</xdr:rowOff>
    </xdr:to>
    <xdr:sp macro="" textlink="">
      <xdr:nvSpPr>
        <xdr:cNvPr id="1043" name="AutoShape 19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8</xdr:col>
      <xdr:colOff>428625</xdr:colOff>
      <xdr:row>7</xdr:row>
      <xdr:rowOff>123825</xdr:rowOff>
    </xdr:from>
    <xdr:to>
      <xdr:col>9</xdr:col>
      <xdr:colOff>609600</xdr:colOff>
      <xdr:row>8</xdr:row>
      <xdr:rowOff>142875</xdr:rowOff>
    </xdr:to>
    <xdr:sp macro="" textlink="">
      <xdr:nvSpPr>
        <xdr:cNvPr id="1044" name="AutoShape 20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5</xdr:col>
      <xdr:colOff>152400</xdr:colOff>
      <xdr:row>7</xdr:row>
      <xdr:rowOff>85725</xdr:rowOff>
    </xdr:from>
    <xdr:to>
      <xdr:col>5</xdr:col>
      <xdr:colOff>828675</xdr:colOff>
      <xdr:row>8</xdr:row>
      <xdr:rowOff>133350</xdr:rowOff>
    </xdr:to>
    <xdr:sp macro="" textlink="">
      <xdr:nvSpPr>
        <xdr:cNvPr id="1045" name="AutoShape 21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5</xdr:col>
      <xdr:colOff>923925</xdr:colOff>
      <xdr:row>7</xdr:row>
      <xdr:rowOff>85725</xdr:rowOff>
    </xdr:from>
    <xdr:to>
      <xdr:col>5</xdr:col>
      <xdr:colOff>1600200</xdr:colOff>
      <xdr:row>8</xdr:row>
      <xdr:rowOff>133350</xdr:rowOff>
    </xdr:to>
    <xdr:sp macro="" textlink="">
      <xdr:nvSpPr>
        <xdr:cNvPr id="1046" name="AutoShape 22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6</xdr:col>
      <xdr:colOff>19050</xdr:colOff>
      <xdr:row>7</xdr:row>
      <xdr:rowOff>85725</xdr:rowOff>
    </xdr:from>
    <xdr:to>
      <xdr:col>6</xdr:col>
      <xdr:colOff>695325</xdr:colOff>
      <xdr:row>8</xdr:row>
      <xdr:rowOff>133350</xdr:rowOff>
    </xdr:to>
    <xdr:sp macro="" textlink="">
      <xdr:nvSpPr>
        <xdr:cNvPr id="1047" name="AutoShape 23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2124075</xdr:colOff>
      <xdr:row>9</xdr:row>
      <xdr:rowOff>19050</xdr:rowOff>
    </xdr:to>
    <xdr:sp macro="" textlink="">
      <xdr:nvSpPr>
        <xdr:cNvPr id="5139" name="AutoShape 19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2266950</xdr:colOff>
      <xdr:row>2</xdr:row>
      <xdr:rowOff>38100</xdr:rowOff>
    </xdr:from>
    <xdr:to>
      <xdr:col>5</xdr:col>
      <xdr:colOff>628650</xdr:colOff>
      <xdr:row>9</xdr:row>
      <xdr:rowOff>19050</xdr:rowOff>
    </xdr:to>
    <xdr:sp macro="" textlink="">
      <xdr:nvSpPr>
        <xdr:cNvPr id="5140" name="AutoShape 20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9525</xdr:colOff>
      <xdr:row>2</xdr:row>
      <xdr:rowOff>38100</xdr:rowOff>
    </xdr:from>
    <xdr:to>
      <xdr:col>9</xdr:col>
      <xdr:colOff>190500</xdr:colOff>
      <xdr:row>9</xdr:row>
      <xdr:rowOff>19050</xdr:rowOff>
    </xdr:to>
    <xdr:sp macro="" textlink="">
      <xdr:nvSpPr>
        <xdr:cNvPr id="5141" name="AutoShape 21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9</xdr:col>
      <xdr:colOff>342900</xdr:colOff>
      <xdr:row>2</xdr:row>
      <xdr:rowOff>38100</xdr:rowOff>
    </xdr:from>
    <xdr:to>
      <xdr:col>12</xdr:col>
      <xdr:colOff>447675</xdr:colOff>
      <xdr:row>9</xdr:row>
      <xdr:rowOff>19050</xdr:rowOff>
    </xdr:to>
    <xdr:sp macro="" textlink="">
      <xdr:nvSpPr>
        <xdr:cNvPr id="5142" name="AutoShape 22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85725</xdr:colOff>
      <xdr:row>2</xdr:row>
      <xdr:rowOff>66675</xdr:rowOff>
    </xdr:from>
    <xdr:to>
      <xdr:col>12</xdr:col>
      <xdr:colOff>381000</xdr:colOff>
      <xdr:row>3</xdr:row>
      <xdr:rowOff>85725</xdr:rowOff>
    </xdr:to>
    <xdr:sp macro="" textlink="">
      <xdr:nvSpPr>
        <xdr:cNvPr id="5143" name="AutoShape 23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85725</xdr:colOff>
      <xdr:row>3</xdr:row>
      <xdr:rowOff>123825</xdr:rowOff>
    </xdr:from>
    <xdr:to>
      <xdr:col>12</xdr:col>
      <xdr:colOff>381000</xdr:colOff>
      <xdr:row>4</xdr:row>
      <xdr:rowOff>142875</xdr:rowOff>
    </xdr:to>
    <xdr:sp macro="" textlink="">
      <xdr:nvSpPr>
        <xdr:cNvPr id="5144" name="AutoShape 24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85725</xdr:colOff>
      <xdr:row>5</xdr:row>
      <xdr:rowOff>19050</xdr:rowOff>
    </xdr:from>
    <xdr:to>
      <xdr:col>12</xdr:col>
      <xdr:colOff>381000</xdr:colOff>
      <xdr:row>6</xdr:row>
      <xdr:rowOff>38100</xdr:rowOff>
    </xdr:to>
    <xdr:sp macro="" textlink="">
      <xdr:nvSpPr>
        <xdr:cNvPr id="5145" name="AutoShape 25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85725</xdr:colOff>
      <xdr:row>6</xdr:row>
      <xdr:rowOff>66675</xdr:rowOff>
    </xdr:from>
    <xdr:to>
      <xdr:col>12</xdr:col>
      <xdr:colOff>381000</xdr:colOff>
      <xdr:row>7</xdr:row>
      <xdr:rowOff>85725</xdr:rowOff>
    </xdr:to>
    <xdr:sp macro="" textlink="">
      <xdr:nvSpPr>
        <xdr:cNvPr id="5146" name="AutoShape 26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85725</xdr:colOff>
      <xdr:row>7</xdr:row>
      <xdr:rowOff>123825</xdr:rowOff>
    </xdr:from>
    <xdr:to>
      <xdr:col>12</xdr:col>
      <xdr:colOff>381000</xdr:colOff>
      <xdr:row>8</xdr:row>
      <xdr:rowOff>142875</xdr:rowOff>
    </xdr:to>
    <xdr:sp macro="" textlink="">
      <xdr:nvSpPr>
        <xdr:cNvPr id="5147" name="AutoShape 27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6</xdr:col>
      <xdr:colOff>133350</xdr:colOff>
      <xdr:row>7</xdr:row>
      <xdr:rowOff>85725</xdr:rowOff>
    </xdr:from>
    <xdr:to>
      <xdr:col>7</xdr:col>
      <xdr:colOff>123825</xdr:colOff>
      <xdr:row>8</xdr:row>
      <xdr:rowOff>133350</xdr:rowOff>
    </xdr:to>
    <xdr:sp macro="" textlink="">
      <xdr:nvSpPr>
        <xdr:cNvPr id="5148" name="AutoShape 28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7</xdr:col>
      <xdr:colOff>219075</xdr:colOff>
      <xdr:row>7</xdr:row>
      <xdr:rowOff>85725</xdr:rowOff>
    </xdr:from>
    <xdr:to>
      <xdr:col>8</xdr:col>
      <xdr:colOff>133350</xdr:colOff>
      <xdr:row>8</xdr:row>
      <xdr:rowOff>133350</xdr:rowOff>
    </xdr:to>
    <xdr:sp macro="" textlink="">
      <xdr:nvSpPr>
        <xdr:cNvPr id="5149" name="AutoShape 29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8</xdr:col>
      <xdr:colOff>209550</xdr:colOff>
      <xdr:row>7</xdr:row>
      <xdr:rowOff>85725</xdr:rowOff>
    </xdr:from>
    <xdr:to>
      <xdr:col>9</xdr:col>
      <xdr:colOff>123825</xdr:colOff>
      <xdr:row>8</xdr:row>
      <xdr:rowOff>133350</xdr:rowOff>
    </xdr:to>
    <xdr:sp macro="" textlink="">
      <xdr:nvSpPr>
        <xdr:cNvPr id="5150" name="AutoShape 30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2</xdr:col>
      <xdr:colOff>2133600</xdr:colOff>
      <xdr:row>9</xdr:row>
      <xdr:rowOff>19050</xdr:rowOff>
    </xdr:to>
    <xdr:sp macro="" textlink="">
      <xdr:nvSpPr>
        <xdr:cNvPr id="6154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2276475</xdr:colOff>
      <xdr:row>2</xdr:row>
      <xdr:rowOff>38100</xdr:rowOff>
    </xdr:from>
    <xdr:to>
      <xdr:col>5</xdr:col>
      <xdr:colOff>95250</xdr:colOff>
      <xdr:row>9</xdr:row>
      <xdr:rowOff>19050</xdr:rowOff>
    </xdr:to>
    <xdr:sp macro="" textlink="">
      <xdr:nvSpPr>
        <xdr:cNvPr id="6155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238125</xdr:colOff>
      <xdr:row>2</xdr:row>
      <xdr:rowOff>38100</xdr:rowOff>
    </xdr:from>
    <xdr:to>
      <xdr:col>8</xdr:col>
      <xdr:colOff>114300</xdr:colOff>
      <xdr:row>9</xdr:row>
      <xdr:rowOff>19050</xdr:rowOff>
    </xdr:to>
    <xdr:sp macro="" textlink="">
      <xdr:nvSpPr>
        <xdr:cNvPr id="6156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8</xdr:col>
      <xdr:colOff>266700</xdr:colOff>
      <xdr:row>2</xdr:row>
      <xdr:rowOff>38100</xdr:rowOff>
    </xdr:from>
    <xdr:to>
      <xdr:col>11</xdr:col>
      <xdr:colOff>142875</xdr:colOff>
      <xdr:row>9</xdr:row>
      <xdr:rowOff>19050</xdr:rowOff>
    </xdr:to>
    <xdr:sp macro="" textlink="">
      <xdr:nvSpPr>
        <xdr:cNvPr id="6157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9</xdr:col>
      <xdr:colOff>733425</xdr:colOff>
      <xdr:row>2</xdr:row>
      <xdr:rowOff>66675</xdr:rowOff>
    </xdr:from>
    <xdr:to>
      <xdr:col>11</xdr:col>
      <xdr:colOff>76200</xdr:colOff>
      <xdr:row>3</xdr:row>
      <xdr:rowOff>85725</xdr:rowOff>
    </xdr:to>
    <xdr:sp macro="" textlink="">
      <xdr:nvSpPr>
        <xdr:cNvPr id="6158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9</xdr:col>
      <xdr:colOff>733425</xdr:colOff>
      <xdr:row>3</xdr:row>
      <xdr:rowOff>123825</xdr:rowOff>
    </xdr:from>
    <xdr:to>
      <xdr:col>11</xdr:col>
      <xdr:colOff>76200</xdr:colOff>
      <xdr:row>4</xdr:row>
      <xdr:rowOff>142875</xdr:rowOff>
    </xdr:to>
    <xdr:sp macro="" textlink="">
      <xdr:nvSpPr>
        <xdr:cNvPr id="6159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9</xdr:col>
      <xdr:colOff>733425</xdr:colOff>
      <xdr:row>5</xdr:row>
      <xdr:rowOff>19050</xdr:rowOff>
    </xdr:from>
    <xdr:to>
      <xdr:col>11</xdr:col>
      <xdr:colOff>76200</xdr:colOff>
      <xdr:row>6</xdr:row>
      <xdr:rowOff>38100</xdr:rowOff>
    </xdr:to>
    <xdr:sp macro="" textlink="">
      <xdr:nvSpPr>
        <xdr:cNvPr id="6160" name="AutoShape 16"/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9</xdr:col>
      <xdr:colOff>733425</xdr:colOff>
      <xdr:row>6</xdr:row>
      <xdr:rowOff>66675</xdr:rowOff>
    </xdr:from>
    <xdr:to>
      <xdr:col>11</xdr:col>
      <xdr:colOff>76200</xdr:colOff>
      <xdr:row>7</xdr:row>
      <xdr:rowOff>85725</xdr:rowOff>
    </xdr:to>
    <xdr:sp macro="" textlink="">
      <xdr:nvSpPr>
        <xdr:cNvPr id="6161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9</xdr:col>
      <xdr:colOff>733425</xdr:colOff>
      <xdr:row>7</xdr:row>
      <xdr:rowOff>123825</xdr:rowOff>
    </xdr:from>
    <xdr:to>
      <xdr:col>11</xdr:col>
      <xdr:colOff>76200</xdr:colOff>
      <xdr:row>8</xdr:row>
      <xdr:rowOff>142875</xdr:rowOff>
    </xdr:to>
    <xdr:sp macro="" textlink="">
      <xdr:nvSpPr>
        <xdr:cNvPr id="6162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5</xdr:col>
      <xdr:colOff>361950</xdr:colOff>
      <xdr:row>7</xdr:row>
      <xdr:rowOff>85725</xdr:rowOff>
    </xdr:from>
    <xdr:to>
      <xdr:col>6</xdr:col>
      <xdr:colOff>209550</xdr:colOff>
      <xdr:row>8</xdr:row>
      <xdr:rowOff>133350</xdr:rowOff>
    </xdr:to>
    <xdr:sp macro="" textlink="">
      <xdr:nvSpPr>
        <xdr:cNvPr id="6163" name="AutoShape 19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6</xdr:col>
      <xdr:colOff>304800</xdr:colOff>
      <xdr:row>7</xdr:row>
      <xdr:rowOff>85725</xdr:rowOff>
    </xdr:from>
    <xdr:to>
      <xdr:col>7</xdr:col>
      <xdr:colOff>123825</xdr:colOff>
      <xdr:row>8</xdr:row>
      <xdr:rowOff>133350</xdr:rowOff>
    </xdr:to>
    <xdr:sp macro="" textlink="">
      <xdr:nvSpPr>
        <xdr:cNvPr id="6164" name="AutoShape 20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7</xdr:col>
      <xdr:colOff>200025</xdr:colOff>
      <xdr:row>7</xdr:row>
      <xdr:rowOff>85725</xdr:rowOff>
    </xdr:from>
    <xdr:to>
      <xdr:col>8</xdr:col>
      <xdr:colOff>47625</xdr:colOff>
      <xdr:row>8</xdr:row>
      <xdr:rowOff>133350</xdr:rowOff>
    </xdr:to>
    <xdr:sp macro="" textlink="">
      <xdr:nvSpPr>
        <xdr:cNvPr id="6165" name="AutoShape 21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3</xdr:col>
      <xdr:colOff>114300</xdr:colOff>
      <xdr:row>9</xdr:row>
      <xdr:rowOff>19050</xdr:rowOff>
    </xdr:to>
    <xdr:sp macro="" textlink="">
      <xdr:nvSpPr>
        <xdr:cNvPr id="7178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266700</xdr:colOff>
      <xdr:row>2</xdr:row>
      <xdr:rowOff>38100</xdr:rowOff>
    </xdr:from>
    <xdr:to>
      <xdr:col>5</xdr:col>
      <xdr:colOff>866775</xdr:colOff>
      <xdr:row>9</xdr:row>
      <xdr:rowOff>19050</xdr:rowOff>
    </xdr:to>
    <xdr:sp macro="" textlink="">
      <xdr:nvSpPr>
        <xdr:cNvPr id="7179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95675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6</xdr:col>
      <xdr:colOff>123825</xdr:colOff>
      <xdr:row>2</xdr:row>
      <xdr:rowOff>38100</xdr:rowOff>
    </xdr:from>
    <xdr:to>
      <xdr:col>9</xdr:col>
      <xdr:colOff>257175</xdr:colOff>
      <xdr:row>9</xdr:row>
      <xdr:rowOff>19050</xdr:rowOff>
    </xdr:to>
    <xdr:sp macro="" textlink="">
      <xdr:nvSpPr>
        <xdr:cNvPr id="7180" name="AutoShape 1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9</xdr:col>
      <xdr:colOff>390525</xdr:colOff>
      <xdr:row>2</xdr:row>
      <xdr:rowOff>38100</xdr:rowOff>
    </xdr:from>
    <xdr:to>
      <xdr:col>10</xdr:col>
      <xdr:colOff>1752600</xdr:colOff>
      <xdr:row>9</xdr:row>
      <xdr:rowOff>19050</xdr:rowOff>
    </xdr:to>
    <xdr:sp macro="" textlink="">
      <xdr:nvSpPr>
        <xdr:cNvPr id="7181" name="AutoShape 13"/>
        <xdr:cNvSpPr>
          <a:spLocks noChangeArrowheads="1"/>
        </xdr:cNvSpPr>
      </xdr:nvSpPr>
      <xdr:spPr bwMode="auto">
        <a:xfrm>
          <a:off x="854392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10</xdr:col>
      <xdr:colOff>609600</xdr:colOff>
      <xdr:row>2</xdr:row>
      <xdr:rowOff>66675</xdr:rowOff>
    </xdr:from>
    <xdr:to>
      <xdr:col>10</xdr:col>
      <xdr:colOff>1666875</xdr:colOff>
      <xdr:row>3</xdr:row>
      <xdr:rowOff>85725</xdr:rowOff>
    </xdr:to>
    <xdr:sp macro="" textlink="">
      <xdr:nvSpPr>
        <xdr:cNvPr id="7182" name="AutoShape 14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7917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10</xdr:col>
      <xdr:colOff>609600</xdr:colOff>
      <xdr:row>3</xdr:row>
      <xdr:rowOff>123825</xdr:rowOff>
    </xdr:from>
    <xdr:to>
      <xdr:col>10</xdr:col>
      <xdr:colOff>1666875</xdr:colOff>
      <xdr:row>4</xdr:row>
      <xdr:rowOff>142875</xdr:rowOff>
    </xdr:to>
    <xdr:sp macro="" textlink="">
      <xdr:nvSpPr>
        <xdr:cNvPr id="7183" name="AutoShape 15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7917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10</xdr:col>
      <xdr:colOff>609600</xdr:colOff>
      <xdr:row>5</xdr:row>
      <xdr:rowOff>19050</xdr:rowOff>
    </xdr:from>
    <xdr:to>
      <xdr:col>10</xdr:col>
      <xdr:colOff>1666875</xdr:colOff>
      <xdr:row>6</xdr:row>
      <xdr:rowOff>38100</xdr:rowOff>
    </xdr:to>
    <xdr:sp macro="" textlink="">
      <xdr:nvSpPr>
        <xdr:cNvPr id="7184" name="AutoShape 16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7917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10</xdr:col>
      <xdr:colOff>609600</xdr:colOff>
      <xdr:row>6</xdr:row>
      <xdr:rowOff>66675</xdr:rowOff>
    </xdr:from>
    <xdr:to>
      <xdr:col>10</xdr:col>
      <xdr:colOff>1666875</xdr:colOff>
      <xdr:row>7</xdr:row>
      <xdr:rowOff>85725</xdr:rowOff>
    </xdr:to>
    <xdr:sp macro="" textlink="">
      <xdr:nvSpPr>
        <xdr:cNvPr id="7185" name="AutoShape 17"/>
        <xdr:cNvSpPr>
          <a:spLocks noChangeArrowheads="1"/>
        </xdr:cNvSpPr>
      </xdr:nvSpPr>
      <xdr:spPr bwMode="auto">
        <a:xfrm>
          <a:off x="97917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10</xdr:col>
      <xdr:colOff>609600</xdr:colOff>
      <xdr:row>7</xdr:row>
      <xdr:rowOff>123825</xdr:rowOff>
    </xdr:from>
    <xdr:to>
      <xdr:col>10</xdr:col>
      <xdr:colOff>1666875</xdr:colOff>
      <xdr:row>8</xdr:row>
      <xdr:rowOff>142875</xdr:rowOff>
    </xdr:to>
    <xdr:sp macro="" textlink="">
      <xdr:nvSpPr>
        <xdr:cNvPr id="7186" name="AutoShape 18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97917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6</xdr:col>
      <xdr:colOff>190500</xdr:colOff>
      <xdr:row>7</xdr:row>
      <xdr:rowOff>85725</xdr:rowOff>
    </xdr:from>
    <xdr:to>
      <xdr:col>7</xdr:col>
      <xdr:colOff>219075</xdr:colOff>
      <xdr:row>8</xdr:row>
      <xdr:rowOff>133350</xdr:rowOff>
    </xdr:to>
    <xdr:sp macro="" textlink="">
      <xdr:nvSpPr>
        <xdr:cNvPr id="7191" name="AutoShape 23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08647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7</xdr:col>
      <xdr:colOff>295275</xdr:colOff>
      <xdr:row>7</xdr:row>
      <xdr:rowOff>85725</xdr:rowOff>
    </xdr:from>
    <xdr:to>
      <xdr:col>8</xdr:col>
      <xdr:colOff>333375</xdr:colOff>
      <xdr:row>8</xdr:row>
      <xdr:rowOff>133350</xdr:rowOff>
    </xdr:to>
    <xdr:sp macro="" textlink="">
      <xdr:nvSpPr>
        <xdr:cNvPr id="7192" name="AutoShape 24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6838950" y="1152525"/>
          <a:ext cx="781050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8</xdr:col>
      <xdr:colOff>390525</xdr:colOff>
      <xdr:row>7</xdr:row>
      <xdr:rowOff>85725</xdr:rowOff>
    </xdr:from>
    <xdr:to>
      <xdr:col>9</xdr:col>
      <xdr:colOff>200025</xdr:colOff>
      <xdr:row>8</xdr:row>
      <xdr:rowOff>133350</xdr:rowOff>
    </xdr:to>
    <xdr:sp macro="" textlink="">
      <xdr:nvSpPr>
        <xdr:cNvPr id="7193" name="AutoShape 25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7677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38100</xdr:rowOff>
    </xdr:from>
    <xdr:to>
      <xdr:col>4</xdr:col>
      <xdr:colOff>390525</xdr:colOff>
      <xdr:row>9</xdr:row>
      <xdr:rowOff>19050</xdr:rowOff>
    </xdr:to>
    <xdr:sp macro="" textlink="">
      <xdr:nvSpPr>
        <xdr:cNvPr id="8202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00" y="342900"/>
          <a:ext cx="2390775" cy="10477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4</xdr:col>
      <xdr:colOff>533400</xdr:colOff>
      <xdr:row>2</xdr:row>
      <xdr:rowOff>38100</xdr:rowOff>
    </xdr:from>
    <xdr:to>
      <xdr:col>7</xdr:col>
      <xdr:colOff>323850</xdr:colOff>
      <xdr:row>9</xdr:row>
      <xdr:rowOff>19050</xdr:rowOff>
    </xdr:to>
    <xdr:sp macro="" textlink="">
      <xdr:nvSpPr>
        <xdr:cNvPr id="8203" name="AutoShape 1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342900"/>
          <a:ext cx="2390775" cy="10477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7</xdr:col>
      <xdr:colOff>466725</xdr:colOff>
      <xdr:row>2</xdr:row>
      <xdr:rowOff>38100</xdr:rowOff>
    </xdr:from>
    <xdr:to>
      <xdr:col>10</xdr:col>
      <xdr:colOff>257175</xdr:colOff>
      <xdr:row>9</xdr:row>
      <xdr:rowOff>19050</xdr:rowOff>
    </xdr:to>
    <xdr:sp macro="" textlink="">
      <xdr:nvSpPr>
        <xdr:cNvPr id="8204" name="AutoShape 12"/>
        <xdr:cNvSpPr>
          <a:spLocks noChangeArrowheads="1"/>
        </xdr:cNvSpPr>
      </xdr:nvSpPr>
      <xdr:spPr bwMode="auto">
        <a:xfrm>
          <a:off x="6019800" y="342900"/>
          <a:ext cx="2390775" cy="10477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10</xdr:col>
      <xdr:colOff>409575</xdr:colOff>
      <xdr:row>2</xdr:row>
      <xdr:rowOff>38100</xdr:rowOff>
    </xdr:from>
    <xdr:to>
      <xdr:col>13</xdr:col>
      <xdr:colOff>200025</xdr:colOff>
      <xdr:row>9</xdr:row>
      <xdr:rowOff>19050</xdr:rowOff>
    </xdr:to>
    <xdr:sp macro="" textlink="">
      <xdr:nvSpPr>
        <xdr:cNvPr id="8205" name="AutoShape 13"/>
        <xdr:cNvSpPr>
          <a:spLocks noChangeArrowheads="1"/>
        </xdr:cNvSpPr>
      </xdr:nvSpPr>
      <xdr:spPr bwMode="auto">
        <a:xfrm>
          <a:off x="8562975" y="342900"/>
          <a:ext cx="2390775" cy="10477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es-PE" sz="18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809625</xdr:colOff>
      <xdr:row>2</xdr:row>
      <xdr:rowOff>66675</xdr:rowOff>
    </xdr:from>
    <xdr:to>
      <xdr:col>13</xdr:col>
      <xdr:colOff>133350</xdr:colOff>
      <xdr:row>3</xdr:row>
      <xdr:rowOff>85725</xdr:rowOff>
    </xdr:to>
    <xdr:sp macro="" textlink="">
      <xdr:nvSpPr>
        <xdr:cNvPr id="8206" name="AutoShape 14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9829800" y="3714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Gastos TPP</a:t>
          </a:r>
        </a:p>
      </xdr:txBody>
    </xdr:sp>
    <xdr:clientData/>
  </xdr:twoCellAnchor>
  <xdr:twoCellAnchor>
    <xdr:from>
      <xdr:col>11</xdr:col>
      <xdr:colOff>809625</xdr:colOff>
      <xdr:row>3</xdr:row>
      <xdr:rowOff>123825</xdr:rowOff>
    </xdr:from>
    <xdr:to>
      <xdr:col>13</xdr:col>
      <xdr:colOff>133350</xdr:colOff>
      <xdr:row>4</xdr:row>
      <xdr:rowOff>142875</xdr:rowOff>
    </xdr:to>
    <xdr:sp macro="" textlink="">
      <xdr:nvSpPr>
        <xdr:cNvPr id="8207" name="AutoShape 15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829800" y="5810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Descuento</a:t>
          </a:r>
        </a:p>
      </xdr:txBody>
    </xdr:sp>
    <xdr:clientData/>
  </xdr:twoCellAnchor>
  <xdr:twoCellAnchor>
    <xdr:from>
      <xdr:col>11</xdr:col>
      <xdr:colOff>809625</xdr:colOff>
      <xdr:row>5</xdr:row>
      <xdr:rowOff>19050</xdr:rowOff>
    </xdr:from>
    <xdr:to>
      <xdr:col>13</xdr:col>
      <xdr:colOff>133350</xdr:colOff>
      <xdr:row>6</xdr:row>
      <xdr:rowOff>38100</xdr:rowOff>
    </xdr:to>
    <xdr:sp macro="" textlink="">
      <xdr:nvSpPr>
        <xdr:cNvPr id="8208" name="AutoShape 16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829800" y="781050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Tráfico</a:t>
          </a:r>
        </a:p>
      </xdr:txBody>
    </xdr:sp>
    <xdr:clientData/>
  </xdr:twoCellAnchor>
  <xdr:twoCellAnchor>
    <xdr:from>
      <xdr:col>11</xdr:col>
      <xdr:colOff>809625</xdr:colOff>
      <xdr:row>6</xdr:row>
      <xdr:rowOff>66675</xdr:rowOff>
    </xdr:from>
    <xdr:to>
      <xdr:col>13</xdr:col>
      <xdr:colOff>133350</xdr:colOff>
      <xdr:row>7</xdr:row>
      <xdr:rowOff>85725</xdr:rowOff>
    </xdr:to>
    <xdr:sp macro="" textlink="">
      <xdr:nvSpPr>
        <xdr:cNvPr id="8209" name="AutoShape 1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829800" y="98107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809625</xdr:colOff>
      <xdr:row>7</xdr:row>
      <xdr:rowOff>123825</xdr:rowOff>
    </xdr:from>
    <xdr:to>
      <xdr:col>13</xdr:col>
      <xdr:colOff>133350</xdr:colOff>
      <xdr:row>8</xdr:row>
      <xdr:rowOff>142875</xdr:rowOff>
    </xdr:to>
    <xdr:sp macro="" textlink="">
      <xdr:nvSpPr>
        <xdr:cNvPr id="8210" name="AutoShape 18"/>
        <xdr:cNvSpPr>
          <a:spLocks noChangeArrowheads="1"/>
        </xdr:cNvSpPr>
      </xdr:nvSpPr>
      <xdr:spPr bwMode="auto">
        <a:xfrm>
          <a:off x="9829800" y="1190625"/>
          <a:ext cx="1057275" cy="1714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  <xdr:twoCellAnchor>
    <xdr:from>
      <xdr:col>7</xdr:col>
      <xdr:colOff>590550</xdr:colOff>
      <xdr:row>7</xdr:row>
      <xdr:rowOff>85725</xdr:rowOff>
    </xdr:from>
    <xdr:to>
      <xdr:col>8</xdr:col>
      <xdr:colOff>400050</xdr:colOff>
      <xdr:row>8</xdr:row>
      <xdr:rowOff>133350</xdr:rowOff>
    </xdr:to>
    <xdr:sp macro="" textlink="">
      <xdr:nvSpPr>
        <xdr:cNvPr id="8211" name="AutoShape 19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6143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plataforma</a:t>
          </a:r>
        </a:p>
      </xdr:txBody>
    </xdr:sp>
    <xdr:clientData/>
  </xdr:twoCellAnchor>
  <xdr:twoCellAnchor>
    <xdr:from>
      <xdr:col>8</xdr:col>
      <xdr:colOff>495300</xdr:colOff>
      <xdr:row>7</xdr:row>
      <xdr:rowOff>85725</xdr:rowOff>
    </xdr:from>
    <xdr:to>
      <xdr:col>9</xdr:col>
      <xdr:colOff>304800</xdr:colOff>
      <xdr:row>8</xdr:row>
      <xdr:rowOff>133350</xdr:rowOff>
    </xdr:to>
    <xdr:sp macro="" textlink="">
      <xdr:nvSpPr>
        <xdr:cNvPr id="8212" name="AutoShape 20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6915150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sistemas</a:t>
          </a:r>
        </a:p>
      </xdr:txBody>
    </xdr:sp>
    <xdr:clientData/>
  </xdr:twoCellAnchor>
  <xdr:twoCellAnchor>
    <xdr:from>
      <xdr:col>9</xdr:col>
      <xdr:colOff>381000</xdr:colOff>
      <xdr:row>7</xdr:row>
      <xdr:rowOff>85725</xdr:rowOff>
    </xdr:from>
    <xdr:to>
      <xdr:col>10</xdr:col>
      <xdr:colOff>190500</xdr:colOff>
      <xdr:row>8</xdr:row>
      <xdr:rowOff>133350</xdr:rowOff>
    </xdr:to>
    <xdr:sp macro="" textlink="">
      <xdr:nvSpPr>
        <xdr:cNvPr id="8213" name="AutoShape 21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7667625" y="1152525"/>
          <a:ext cx="676275" cy="200025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tarjetas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visory/Forecasts%20for%20Telecoms%20and%20Mobile/2001_4q/Forecasts/Mobile/AME/CTYWKBKS/LA/MEX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 enableFormatConditionsCalculation="0">
    <tabColor rgb="FF0070C0"/>
  </sheetPr>
  <dimension ref="A1:U103"/>
  <sheetViews>
    <sheetView showGridLines="0" tabSelected="1" zoomScale="80" zoomScaleNormal="80" workbookViewId="0"/>
  </sheetViews>
  <sheetFormatPr baseColWidth="10" defaultColWidth="9.140625" defaultRowHeight="12.75"/>
  <cols>
    <col min="2" max="2" width="17.42578125" customWidth="1"/>
    <col min="3" max="3" width="26.7109375" customWidth="1"/>
    <col min="4" max="4" width="19.140625" bestFit="1" customWidth="1"/>
    <col min="5" max="5" width="33.28515625" customWidth="1"/>
    <col min="6" max="6" width="17.140625" customWidth="1"/>
    <col min="7" max="7" width="19" customWidth="1"/>
    <col min="8" max="8" width="5" customWidth="1"/>
    <col min="9" max="9" width="15" customWidth="1"/>
    <col min="10" max="10" width="17.140625" customWidth="1"/>
  </cols>
  <sheetData>
    <row r="1" spans="1:21" ht="12" customHeight="1"/>
    <row r="2" spans="1:21" ht="12" customHeight="1"/>
    <row r="3" spans="1:21" ht="12" customHeight="1"/>
    <row r="4" spans="1:21" ht="12" customHeight="1"/>
    <row r="5" spans="1:21" ht="12" customHeight="1"/>
    <row r="6" spans="1:21" ht="12" customHeight="1"/>
    <row r="7" spans="1:21" ht="12" customHeight="1"/>
    <row r="8" spans="1:21" ht="12" customHeight="1"/>
    <row r="9" spans="1:21" ht="12" customHeight="1"/>
    <row r="10" spans="1:21" ht="12" customHeight="1"/>
    <row r="11" spans="1:21" ht="12" customHeight="1"/>
    <row r="12" spans="1:21" s="101" customFormat="1" ht="12" customHeight="1"/>
    <row r="13" spans="1:21" ht="12" customHeight="1"/>
    <row r="14" spans="1:21" ht="20.25">
      <c r="A14" s="5"/>
      <c r="B14" s="1"/>
      <c r="C14" s="1" t="s">
        <v>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6" spans="1:21">
      <c r="C16" s="95" t="s">
        <v>3</v>
      </c>
      <c r="D16" s="166">
        <v>0.15060000000000001</v>
      </c>
    </row>
    <row r="17" spans="1:21">
      <c r="C17" s="96" t="s">
        <v>13</v>
      </c>
      <c r="D17" s="150">
        <v>-0.05</v>
      </c>
    </row>
    <row r="18" spans="1:21">
      <c r="C18" s="96" t="s">
        <v>14</v>
      </c>
      <c r="D18" s="167">
        <v>5</v>
      </c>
    </row>
    <row r="19" spans="1:21">
      <c r="C19" s="96" t="s">
        <v>46</v>
      </c>
      <c r="D19" s="150">
        <v>0.19</v>
      </c>
    </row>
    <row r="20" spans="1:21">
      <c r="C20" s="96" t="s">
        <v>93</v>
      </c>
      <c r="D20" s="150">
        <v>0.1</v>
      </c>
    </row>
    <row r="21" spans="1:21">
      <c r="C21" s="97" t="s">
        <v>86</v>
      </c>
      <c r="D21" s="168">
        <v>0</v>
      </c>
    </row>
    <row r="22" spans="1:21" s="101" customFormat="1">
      <c r="C22" s="97" t="s">
        <v>95</v>
      </c>
      <c r="D22" s="168">
        <v>0</v>
      </c>
    </row>
    <row r="24" spans="1:21" ht="20.25">
      <c r="A24" s="5"/>
      <c r="B24" s="1"/>
      <c r="C24" s="1" t="s">
        <v>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C25" s="8"/>
      <c r="D25" s="8"/>
      <c r="E25" s="8"/>
      <c r="F25" s="8"/>
      <c r="G25" s="8"/>
    </row>
    <row r="27" spans="1:21" ht="20.25">
      <c r="A27" s="5"/>
      <c r="B27" s="1"/>
      <c r="C27" s="1" t="s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9" spans="1:21" ht="20.25">
      <c r="B29" s="169" t="s">
        <v>53</v>
      </c>
      <c r="C29" s="300">
        <f>+F63</f>
        <v>3.8798664070056276E-3</v>
      </c>
      <c r="D29" s="170" t="s">
        <v>5</v>
      </c>
      <c r="E29" s="8"/>
      <c r="F29" s="8"/>
      <c r="G29" s="8"/>
    </row>
    <row r="30" spans="1:21" s="101" customFormat="1">
      <c r="A30" s="8"/>
      <c r="B30" s="160"/>
      <c r="C30" s="137"/>
      <c r="D30" s="22"/>
      <c r="E30" s="8"/>
      <c r="F30" s="8"/>
      <c r="G30" s="8"/>
    </row>
    <row r="31" spans="1:21" s="101" customFormat="1" ht="15.75">
      <c r="B31" s="171"/>
      <c r="C31" s="137"/>
      <c r="D31" s="68"/>
      <c r="E31" s="172" t="s">
        <v>163</v>
      </c>
      <c r="F31" s="173"/>
      <c r="G31" s="161"/>
    </row>
    <row r="32" spans="1:21" s="101" customFormat="1" ht="6" customHeight="1">
      <c r="B32" s="171"/>
      <c r="C32" s="137"/>
      <c r="D32" s="68"/>
      <c r="E32" s="174"/>
      <c r="F32" s="113"/>
      <c r="G32" s="161"/>
    </row>
    <row r="33" spans="1:7" s="101" customFormat="1">
      <c r="B33" s="171"/>
      <c r="C33" s="137"/>
      <c r="D33" s="68"/>
      <c r="E33" s="174" t="s">
        <v>105</v>
      </c>
      <c r="F33" s="113"/>
      <c r="G33" s="161"/>
    </row>
    <row r="34" spans="1:7" s="101" customFormat="1">
      <c r="B34" s="171"/>
      <c r="C34" s="171"/>
      <c r="D34" s="113"/>
      <c r="E34" s="155" t="s">
        <v>44</v>
      </c>
      <c r="F34" s="295">
        <f>+Costos!D30</f>
        <v>1643864.1842318641</v>
      </c>
      <c r="G34" s="113"/>
    </row>
    <row r="35" spans="1:7" s="101" customFormat="1">
      <c r="B35" s="171"/>
      <c r="C35" s="171"/>
      <c r="D35" s="113"/>
      <c r="E35" s="155" t="s">
        <v>45</v>
      </c>
      <c r="F35" s="295">
        <f>+Costos!D50</f>
        <v>593326.52136366151</v>
      </c>
      <c r="G35" s="113"/>
    </row>
    <row r="36" spans="1:7" s="101" customFormat="1">
      <c r="B36" s="171"/>
      <c r="C36" s="171"/>
      <c r="D36" s="113"/>
      <c r="E36" s="88" t="s">
        <v>99</v>
      </c>
      <c r="F36" s="296">
        <f>+F34+F35</f>
        <v>2237190.7055955254</v>
      </c>
      <c r="G36" s="113"/>
    </row>
    <row r="37" spans="1:7" s="101" customFormat="1">
      <c r="B37" s="171"/>
      <c r="C37" s="171"/>
      <c r="D37" s="113"/>
      <c r="E37" s="113"/>
      <c r="F37" s="177"/>
      <c r="G37" s="113"/>
    </row>
    <row r="38" spans="1:7" s="101" customFormat="1">
      <c r="B38" s="171"/>
      <c r="C38" s="171"/>
      <c r="D38" s="113"/>
      <c r="E38" s="68" t="s">
        <v>106</v>
      </c>
      <c r="F38" s="177"/>
      <c r="G38" s="113"/>
    </row>
    <row r="39" spans="1:7" s="101" customFormat="1">
      <c r="B39" s="171"/>
      <c r="C39" s="171"/>
      <c r="D39" s="113"/>
      <c r="E39" s="155" t="s">
        <v>112</v>
      </c>
      <c r="F39" s="175">
        <f>+Tráfico!D37</f>
        <v>249195546.26872778</v>
      </c>
      <c r="G39" s="113"/>
    </row>
    <row r="40" spans="1:7" s="101" customFormat="1">
      <c r="B40" s="171"/>
      <c r="C40" s="171"/>
      <c r="D40" s="113"/>
      <c r="E40" s="155" t="s">
        <v>164</v>
      </c>
      <c r="F40" s="175">
        <f>+Tráfico!D42</f>
        <v>398999059.85608494</v>
      </c>
      <c r="G40" s="113"/>
    </row>
    <row r="41" spans="1:7" s="101" customFormat="1">
      <c r="B41" s="171"/>
      <c r="C41" s="171"/>
      <c r="D41" s="113"/>
      <c r="E41" s="88" t="s">
        <v>99</v>
      </c>
      <c r="F41" s="176">
        <f>+F39+F40</f>
        <v>648194606.12481272</v>
      </c>
      <c r="G41" s="113"/>
    </row>
    <row r="42" spans="1:7" s="101" customFormat="1">
      <c r="B42" s="171"/>
      <c r="C42" s="171"/>
      <c r="D42" s="113"/>
      <c r="E42" s="178"/>
      <c r="F42" s="179"/>
      <c r="G42" s="113"/>
    </row>
    <row r="43" spans="1:7" s="101" customFormat="1" ht="15">
      <c r="B43" s="171"/>
      <c r="C43" s="171"/>
      <c r="D43" s="113"/>
      <c r="E43" s="180" t="s">
        <v>165</v>
      </c>
      <c r="F43" s="297">
        <f>+F36/F41</f>
        <v>3.4514182692300041E-3</v>
      </c>
      <c r="G43" s="113"/>
    </row>
    <row r="44" spans="1:7" s="101" customFormat="1">
      <c r="A44" s="8"/>
      <c r="B44" s="160"/>
      <c r="C44" s="137"/>
      <c r="D44" s="22"/>
      <c r="E44" s="8"/>
      <c r="F44" s="8"/>
      <c r="G44" s="8"/>
    </row>
    <row r="45" spans="1:7" s="101" customFormat="1" ht="15.75">
      <c r="B45" s="171"/>
      <c r="C45" s="137"/>
      <c r="D45" s="68"/>
      <c r="E45" s="172" t="s">
        <v>166</v>
      </c>
      <c r="F45" s="173"/>
      <c r="G45" s="161"/>
    </row>
    <row r="46" spans="1:7" s="101" customFormat="1" ht="5.25" customHeight="1">
      <c r="B46" s="171"/>
      <c r="C46" s="137"/>
      <c r="D46" s="68"/>
      <c r="E46" s="174"/>
      <c r="F46" s="113"/>
      <c r="G46" s="161"/>
    </row>
    <row r="47" spans="1:7" s="101" customFormat="1">
      <c r="B47" s="171"/>
      <c r="C47" s="137"/>
      <c r="D47" s="68"/>
      <c r="E47" s="174" t="s">
        <v>105</v>
      </c>
      <c r="F47" s="113"/>
      <c r="G47" s="161"/>
    </row>
    <row r="48" spans="1:7" s="101" customFormat="1">
      <c r="B48" s="171"/>
      <c r="C48" s="171"/>
      <c r="D48" s="113"/>
      <c r="E48" s="155" t="s">
        <v>44</v>
      </c>
      <c r="F48" s="175">
        <v>0</v>
      </c>
      <c r="G48" s="113"/>
    </row>
    <row r="49" spans="2:7" s="101" customFormat="1">
      <c r="B49" s="171"/>
      <c r="C49" s="171"/>
      <c r="D49" s="113"/>
      <c r="E49" s="155" t="s">
        <v>45</v>
      </c>
      <c r="F49" s="295">
        <f>+Costos!D59</f>
        <v>39847.252199900387</v>
      </c>
      <c r="G49" s="113"/>
    </row>
    <row r="50" spans="2:7" s="101" customFormat="1">
      <c r="B50" s="171"/>
      <c r="C50" s="171"/>
      <c r="D50" s="113"/>
      <c r="E50" s="88" t="s">
        <v>99</v>
      </c>
      <c r="F50" s="296">
        <f>+F48+F49</f>
        <v>39847.252199900387</v>
      </c>
      <c r="G50" s="113"/>
    </row>
    <row r="51" spans="2:7" s="101" customFormat="1">
      <c r="B51" s="171"/>
      <c r="C51" s="171"/>
      <c r="D51" s="113"/>
      <c r="E51" s="113"/>
      <c r="F51" s="177"/>
      <c r="G51" s="113"/>
    </row>
    <row r="52" spans="2:7" s="101" customFormat="1">
      <c r="B52" s="171"/>
      <c r="C52" s="171"/>
      <c r="D52" s="113"/>
      <c r="E52" s="68" t="s">
        <v>106</v>
      </c>
      <c r="F52" s="177"/>
      <c r="G52" s="113"/>
    </row>
    <row r="53" spans="2:7" s="101" customFormat="1">
      <c r="B53" s="171"/>
      <c r="C53" s="171"/>
      <c r="D53" s="113"/>
      <c r="E53" s="155" t="s">
        <v>112</v>
      </c>
      <c r="F53" s="175">
        <f>+Tráfico!D39</f>
        <v>239531697.91587684</v>
      </c>
      <c r="G53" s="113"/>
    </row>
    <row r="54" spans="2:7" s="101" customFormat="1">
      <c r="B54" s="171"/>
      <c r="C54" s="171"/>
      <c r="D54" s="113"/>
      <c r="E54" s="155" t="s">
        <v>164</v>
      </c>
      <c r="F54" s="175">
        <f>+Tráfico!D44</f>
        <v>286622647.07046473</v>
      </c>
      <c r="G54" s="113"/>
    </row>
    <row r="55" spans="2:7" s="101" customFormat="1">
      <c r="B55" s="171"/>
      <c r="C55" s="171"/>
      <c r="D55" s="113"/>
      <c r="E55" s="88" t="s">
        <v>99</v>
      </c>
      <c r="F55" s="176">
        <f>+F53+F54</f>
        <v>526154344.9863416</v>
      </c>
      <c r="G55" s="113"/>
    </row>
    <row r="56" spans="2:7" s="101" customFormat="1">
      <c r="B56" s="171"/>
      <c r="C56" s="171"/>
      <c r="D56" s="113"/>
      <c r="E56" s="178"/>
      <c r="F56" s="179"/>
      <c r="G56" s="113"/>
    </row>
    <row r="57" spans="2:7" s="101" customFormat="1" ht="15">
      <c r="B57" s="171"/>
      <c r="C57" s="171"/>
      <c r="D57" s="113"/>
      <c r="E57" s="180" t="s">
        <v>165</v>
      </c>
      <c r="F57" s="297">
        <f>+F50/F55</f>
        <v>7.5733009866020925E-5</v>
      </c>
      <c r="G57" s="113"/>
    </row>
    <row r="58" spans="2:7" s="101" customFormat="1">
      <c r="B58" s="171"/>
      <c r="C58" s="171"/>
      <c r="D58" s="157"/>
      <c r="E58" s="158"/>
      <c r="F58" s="159"/>
      <c r="G58" s="157"/>
    </row>
    <row r="59" spans="2:7" s="101" customFormat="1" ht="15.75">
      <c r="B59" s="171"/>
      <c r="C59" s="171"/>
      <c r="D59" s="157"/>
      <c r="E59" s="181" t="s">
        <v>107</v>
      </c>
      <c r="F59" s="298">
        <f>+F43+F57</f>
        <v>3.527151279096025E-3</v>
      </c>
      <c r="G59" s="157"/>
    </row>
    <row r="60" spans="2:7" s="101" customFormat="1">
      <c r="B60" s="171"/>
      <c r="C60" s="171"/>
      <c r="D60" s="157"/>
      <c r="E60" s="158"/>
      <c r="F60" s="159"/>
      <c r="G60" s="157"/>
    </row>
    <row r="61" spans="2:7" s="101" customFormat="1" ht="15.75">
      <c r="B61" s="171"/>
      <c r="C61" s="171"/>
      <c r="D61" s="157"/>
      <c r="E61" s="181" t="s">
        <v>110</v>
      </c>
      <c r="F61" s="298">
        <f>+F59*sMargCostCom</f>
        <v>3.5271512790960253E-4</v>
      </c>
      <c r="G61" s="157"/>
    </row>
    <row r="62" spans="2:7" s="101" customFormat="1">
      <c r="B62" s="171"/>
      <c r="C62" s="171"/>
      <c r="D62" s="157"/>
      <c r="E62" s="158"/>
      <c r="F62" s="159"/>
      <c r="G62" s="157"/>
    </row>
    <row r="63" spans="2:7" s="101" customFormat="1" ht="18">
      <c r="B63" s="171"/>
      <c r="C63" s="171"/>
      <c r="D63" s="157"/>
      <c r="E63" s="182" t="s">
        <v>167</v>
      </c>
      <c r="F63" s="299">
        <f>+F61+F59</f>
        <v>3.8798664070056276E-3</v>
      </c>
      <c r="G63" s="157"/>
    </row>
    <row r="64" spans="2:7" s="101" customFormat="1">
      <c r="B64" s="171"/>
      <c r="C64" s="171"/>
      <c r="D64" s="157"/>
      <c r="E64" s="158"/>
      <c r="F64" s="159"/>
      <c r="G64" s="157"/>
    </row>
    <row r="65" spans="2:12" s="101" customFormat="1">
      <c r="B65" s="171"/>
      <c r="C65" s="171"/>
      <c r="D65" s="157"/>
      <c r="E65" s="158"/>
      <c r="F65" s="159"/>
      <c r="G65" s="157"/>
    </row>
    <row r="66" spans="2:12" s="101" customFormat="1">
      <c r="B66" s="171"/>
      <c r="C66" s="171"/>
      <c r="D66" s="157"/>
      <c r="E66" s="158"/>
      <c r="F66" s="159"/>
      <c r="G66" s="157"/>
    </row>
    <row r="67" spans="2:12" s="101" customFormat="1" ht="40.5">
      <c r="B67" s="169" t="s">
        <v>54</v>
      </c>
      <c r="C67" s="183">
        <f>+'Descuento del distribuidor'!D34</f>
        <v>0.12</v>
      </c>
      <c r="D67" s="8"/>
      <c r="E67" s="8"/>
      <c r="F67" s="8"/>
      <c r="G67" s="8"/>
    </row>
    <row r="68" spans="2:12" s="101" customFormat="1">
      <c r="B68" s="90"/>
      <c r="C68" s="90"/>
    </row>
    <row r="69" spans="2:12">
      <c r="G69" s="66"/>
      <c r="H69" s="135"/>
      <c r="I69" s="135"/>
      <c r="J69" s="135"/>
      <c r="K69" s="135"/>
      <c r="L69" s="66"/>
    </row>
    <row r="70" spans="2:12">
      <c r="G70" s="66"/>
      <c r="H70" s="135"/>
      <c r="I70" s="135"/>
      <c r="J70" s="135"/>
      <c r="K70" s="135"/>
      <c r="L70" s="66"/>
    </row>
    <row r="71" spans="2:12">
      <c r="G71" s="66"/>
      <c r="H71" s="136"/>
      <c r="I71" s="136"/>
      <c r="J71" s="136"/>
      <c r="K71" s="136"/>
      <c r="L71" s="66"/>
    </row>
    <row r="72" spans="2:12">
      <c r="G72" s="66"/>
      <c r="H72" s="136"/>
      <c r="I72" s="136"/>
      <c r="J72" s="136"/>
      <c r="K72" s="136"/>
      <c r="L72" s="66"/>
    </row>
    <row r="82" spans="2:9" s="101" customFormat="1">
      <c r="B82" s="90"/>
      <c r="C82" s="90"/>
      <c r="D82" s="157"/>
      <c r="E82" s="158"/>
      <c r="F82" s="159"/>
      <c r="G82" s="157"/>
    </row>
    <row r="83" spans="2:9" s="101" customFormat="1">
      <c r="B83" s="90"/>
    </row>
    <row r="84" spans="2:9" s="101" customFormat="1">
      <c r="B84" s="90"/>
    </row>
    <row r="85" spans="2:9" s="101" customFormat="1">
      <c r="B85" s="90"/>
      <c r="I85" s="141"/>
    </row>
    <row r="86" spans="2:9" s="101" customFormat="1">
      <c r="B86" s="90"/>
      <c r="I86" s="141"/>
    </row>
    <row r="87" spans="2:9" s="101" customFormat="1">
      <c r="B87" s="90"/>
      <c r="I87" s="141"/>
    </row>
    <row r="88" spans="2:9" s="101" customFormat="1">
      <c r="B88" s="90"/>
      <c r="I88" s="141"/>
    </row>
    <row r="89" spans="2:9" s="101" customFormat="1">
      <c r="B89" s="90"/>
      <c r="I89" s="141"/>
    </row>
    <row r="90" spans="2:9" s="101" customFormat="1">
      <c r="B90" s="90"/>
      <c r="I90" s="141"/>
    </row>
    <row r="91" spans="2:9" s="101" customFormat="1">
      <c r="B91" s="90"/>
      <c r="I91" s="141"/>
    </row>
    <row r="92" spans="2:9" s="101" customFormat="1">
      <c r="B92" s="90"/>
      <c r="I92" s="141"/>
    </row>
    <row r="93" spans="2:9" s="101" customFormat="1">
      <c r="B93" s="90"/>
      <c r="I93" s="141"/>
    </row>
    <row r="94" spans="2:9" s="101" customFormat="1">
      <c r="B94" s="90"/>
      <c r="I94" s="141"/>
    </row>
    <row r="95" spans="2:9" s="101" customFormat="1">
      <c r="B95" s="90"/>
      <c r="I95" s="141"/>
    </row>
    <row r="96" spans="2:9" s="101" customFormat="1">
      <c r="B96" s="90"/>
      <c r="I96" s="141"/>
    </row>
    <row r="97" spans="2:9" s="101" customFormat="1">
      <c r="B97" s="90"/>
    </row>
    <row r="98" spans="2:9" s="101" customFormat="1">
      <c r="B98" s="90"/>
    </row>
    <row r="99" spans="2:9" s="101" customFormat="1">
      <c r="B99" s="90"/>
    </row>
    <row r="100" spans="2:9" s="101" customFormat="1">
      <c r="B100" s="90"/>
    </row>
    <row r="101" spans="2:9" s="101" customFormat="1">
      <c r="B101" s="90"/>
    </row>
    <row r="102" spans="2:9" s="101" customFormat="1">
      <c r="B102" s="90"/>
    </row>
    <row r="103" spans="2:9" s="101" customFormat="1">
      <c r="B103" s="90"/>
      <c r="I103" s="142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8">
    <tabColor rgb="FF0070C0"/>
  </sheetPr>
  <dimension ref="B6:E24"/>
  <sheetViews>
    <sheetView workbookViewId="0"/>
  </sheetViews>
  <sheetFormatPr baseColWidth="10" defaultRowHeight="12.75"/>
  <cols>
    <col min="1" max="2" width="11.42578125" style="83"/>
    <col min="3" max="3" width="36.85546875" style="83" customWidth="1"/>
    <col min="4" max="4" width="23.7109375" style="83" customWidth="1"/>
    <col min="5" max="16384" width="11.42578125" style="83"/>
  </cols>
  <sheetData>
    <row r="6" spans="2:5">
      <c r="B6" s="215"/>
      <c r="C6" s="215"/>
      <c r="D6" s="215"/>
      <c r="E6" s="215"/>
    </row>
    <row r="7" spans="2:5" ht="18.75">
      <c r="B7" s="215"/>
      <c r="C7" s="240" t="s">
        <v>175</v>
      </c>
      <c r="D7" s="240"/>
      <c r="E7" s="215"/>
    </row>
    <row r="8" spans="2:5" ht="6" customHeight="1">
      <c r="B8" s="215"/>
      <c r="C8" s="215"/>
      <c r="D8" s="215"/>
      <c r="E8" s="215"/>
    </row>
    <row r="9" spans="2:5" ht="15.75">
      <c r="B9" s="215"/>
      <c r="C9" s="241" t="s">
        <v>119</v>
      </c>
      <c r="D9" s="241"/>
      <c r="E9" s="215"/>
    </row>
    <row r="10" spans="2:5" ht="5.25" customHeight="1">
      <c r="B10" s="215"/>
      <c r="C10" s="241"/>
      <c r="D10" s="241"/>
      <c r="E10" s="215"/>
    </row>
    <row r="11" spans="2:5">
      <c r="B11" s="215"/>
      <c r="C11" s="242" t="s">
        <v>120</v>
      </c>
      <c r="D11" s="242"/>
      <c r="E11" s="215"/>
    </row>
    <row r="12" spans="2:5">
      <c r="B12" s="215"/>
      <c r="C12" s="243" t="s">
        <v>150</v>
      </c>
      <c r="D12" s="244">
        <v>3030203.8587880894</v>
      </c>
      <c r="E12" s="215"/>
    </row>
    <row r="13" spans="2:5">
      <c r="B13" s="215"/>
      <c r="C13" s="245"/>
      <c r="D13" s="246"/>
      <c r="E13" s="215"/>
    </row>
    <row r="14" spans="2:5">
      <c r="B14" s="215"/>
      <c r="C14" s="247" t="s">
        <v>121</v>
      </c>
      <c r="D14" s="215"/>
      <c r="E14" s="215"/>
    </row>
    <row r="15" spans="2:5">
      <c r="B15" s="215"/>
      <c r="C15" s="243" t="s">
        <v>151</v>
      </c>
      <c r="D15" s="244">
        <v>485117.35219988332</v>
      </c>
      <c r="E15" s="215"/>
    </row>
    <row r="16" spans="2:5">
      <c r="B16" s="215"/>
      <c r="C16" s="245"/>
      <c r="D16" s="246"/>
      <c r="E16" s="215"/>
    </row>
    <row r="17" spans="2:5">
      <c r="B17" s="215"/>
      <c r="C17" s="242" t="s">
        <v>120</v>
      </c>
      <c r="D17" s="215"/>
      <c r="E17" s="215"/>
    </row>
    <row r="18" spans="2:5">
      <c r="B18" s="215"/>
      <c r="C18" s="243" t="s">
        <v>122</v>
      </c>
      <c r="D18" s="248">
        <v>593326.52136366151</v>
      </c>
      <c r="E18" s="215"/>
    </row>
    <row r="19" spans="2:5">
      <c r="B19" s="215"/>
      <c r="C19" s="215"/>
      <c r="D19" s="215"/>
      <c r="E19" s="215"/>
    </row>
    <row r="20" spans="2:5" ht="15.75">
      <c r="B20" s="215"/>
      <c r="C20" s="241" t="s">
        <v>97</v>
      </c>
      <c r="D20" s="241"/>
      <c r="E20" s="215"/>
    </row>
    <row r="21" spans="2:5" ht="6" customHeight="1">
      <c r="B21" s="215"/>
      <c r="C21" s="241"/>
      <c r="D21" s="241"/>
      <c r="E21" s="215"/>
    </row>
    <row r="22" spans="2:5">
      <c r="B22" s="215"/>
      <c r="C22" s="243" t="s">
        <v>170</v>
      </c>
      <c r="D22" s="244">
        <v>5000000</v>
      </c>
      <c r="E22" s="215"/>
    </row>
    <row r="23" spans="2:5">
      <c r="B23" s="215"/>
      <c r="C23" s="243" t="s">
        <v>169</v>
      </c>
      <c r="D23" s="244">
        <v>3427200</v>
      </c>
      <c r="E23" s="215"/>
    </row>
    <row r="24" spans="2:5">
      <c r="B24" s="215"/>
      <c r="C24" s="215"/>
      <c r="D24" s="215"/>
      <c r="E24" s="2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9">
    <tabColor rgb="FF0070C0"/>
  </sheetPr>
  <dimension ref="C3:F46"/>
  <sheetViews>
    <sheetView zoomScale="80" zoomScaleNormal="80" workbookViewId="0"/>
  </sheetViews>
  <sheetFormatPr baseColWidth="10" defaultRowHeight="12.75"/>
  <cols>
    <col min="1" max="2" width="11.42578125" style="83"/>
    <col min="3" max="3" width="41" style="83" customWidth="1"/>
    <col min="4" max="4" width="19" style="83" customWidth="1"/>
    <col min="5" max="5" width="12.7109375" style="83" bestFit="1" customWidth="1"/>
    <col min="6" max="16384" width="11.42578125" style="83"/>
  </cols>
  <sheetData>
    <row r="3" spans="3:6">
      <c r="C3" s="215"/>
      <c r="D3" s="215"/>
    </row>
    <row r="4" spans="3:6" ht="15">
      <c r="C4" s="249" t="s">
        <v>182</v>
      </c>
      <c r="D4" s="250">
        <v>0.8</v>
      </c>
    </row>
    <row r="5" spans="3:6">
      <c r="C5" s="215"/>
      <c r="D5" s="215"/>
    </row>
    <row r="6" spans="3:6" ht="15.75">
      <c r="C6" s="241" t="s">
        <v>123</v>
      </c>
      <c r="D6" s="241"/>
    </row>
    <row r="7" spans="3:6">
      <c r="C7" s="251"/>
      <c r="D7" s="251"/>
    </row>
    <row r="8" spans="3:6">
      <c r="C8" s="252" t="s">
        <v>181</v>
      </c>
      <c r="D8" s="251"/>
    </row>
    <row r="9" spans="3:6">
      <c r="C9" s="253" t="s">
        <v>148</v>
      </c>
      <c r="D9" s="301">
        <v>1000</v>
      </c>
      <c r="E9" s="146"/>
      <c r="F9" s="146"/>
    </row>
    <row r="10" spans="3:6" ht="15">
      <c r="C10" s="249" t="s">
        <v>149</v>
      </c>
      <c r="D10" s="302">
        <f>ROUNDUP(D9/$D$4,0)</f>
        <v>1250</v>
      </c>
    </row>
    <row r="11" spans="3:6">
      <c r="C11" s="251"/>
      <c r="D11" s="251"/>
    </row>
    <row r="12" spans="3:6" ht="15">
      <c r="C12" s="254" t="s">
        <v>125</v>
      </c>
      <c r="D12" s="254"/>
    </row>
    <row r="13" spans="3:6">
      <c r="C13" s="253" t="s">
        <v>125</v>
      </c>
      <c r="D13" s="301">
        <f>+'INPUT DIMENSIONAMIENTO PLAT'!K20</f>
        <v>4852</v>
      </c>
    </row>
    <row r="14" spans="3:6" ht="15">
      <c r="C14" s="249" t="s">
        <v>124</v>
      </c>
      <c r="D14" s="302">
        <f>ROUNDUP(D13/$D$4,0)</f>
        <v>6065</v>
      </c>
    </row>
    <row r="15" spans="3:6">
      <c r="C15" s="215"/>
      <c r="D15" s="215"/>
    </row>
    <row r="16" spans="3:6" ht="15.75">
      <c r="C16" s="241" t="s">
        <v>126</v>
      </c>
      <c r="D16" s="241"/>
    </row>
    <row r="17" spans="3:4">
      <c r="C17" s="253" t="s">
        <v>171</v>
      </c>
      <c r="D17" s="303">
        <f>ROUNDUP(D10/'INPUT PRECIARIO PLATAFORMA'!$D$22,0)</f>
        <v>1</v>
      </c>
    </row>
    <row r="18" spans="3:4">
      <c r="C18" s="253" t="s">
        <v>172</v>
      </c>
      <c r="D18" s="303">
        <f>ROUNDUP(D14/'INPUT PRECIARIO PLATAFORMA'!$D$23,0)</f>
        <v>1</v>
      </c>
    </row>
    <row r="19" spans="3:4" ht="15">
      <c r="C19" s="255" t="s">
        <v>127</v>
      </c>
      <c r="D19" s="304">
        <f>MAX(D17:D18)</f>
        <v>1</v>
      </c>
    </row>
    <row r="20" spans="3:4">
      <c r="C20" s="215"/>
      <c r="D20" s="215"/>
    </row>
    <row r="21" spans="3:4">
      <c r="C21" s="215"/>
      <c r="D21" s="215"/>
    </row>
    <row r="22" spans="3:4" ht="15.75">
      <c r="C22" s="241" t="s">
        <v>173</v>
      </c>
      <c r="D22" s="241"/>
    </row>
    <row r="23" spans="3:4">
      <c r="C23" s="251"/>
      <c r="D23" s="251"/>
    </row>
    <row r="24" spans="3:4" ht="15">
      <c r="C24" s="256" t="s">
        <v>152</v>
      </c>
      <c r="D24" s="251"/>
    </row>
    <row r="25" spans="3:4" ht="15">
      <c r="C25" s="257" t="s">
        <v>128</v>
      </c>
      <c r="D25" s="258">
        <f>+'INPUT PRECIARIO PLATAFORMA'!D12</f>
        <v>3030203.8587880894</v>
      </c>
    </row>
    <row r="26" spans="3:4" ht="15">
      <c r="C26" s="257" t="s">
        <v>98</v>
      </c>
      <c r="D26" s="303">
        <f>+D$19</f>
        <v>1</v>
      </c>
    </row>
    <row r="27" spans="3:4" ht="15">
      <c r="C27" s="256" t="s">
        <v>99</v>
      </c>
      <c r="D27" s="305">
        <f>+D25*D26</f>
        <v>3030203.8587880894</v>
      </c>
    </row>
    <row r="28" spans="3:4">
      <c r="C28" s="251"/>
      <c r="D28" s="251"/>
    </row>
    <row r="29" spans="3:4" ht="15">
      <c r="C29" s="256" t="s">
        <v>153</v>
      </c>
      <c r="D29" s="251"/>
    </row>
    <row r="30" spans="3:4" ht="15">
      <c r="C30" s="257" t="s">
        <v>128</v>
      </c>
      <c r="D30" s="258">
        <f>+'INPUT PRECIARIO PLATAFORMA'!D15</f>
        <v>485117.35219988332</v>
      </c>
    </row>
    <row r="31" spans="3:4" ht="15">
      <c r="C31" s="257" t="s">
        <v>98</v>
      </c>
      <c r="D31" s="253">
        <v>1</v>
      </c>
    </row>
    <row r="32" spans="3:4" ht="15">
      <c r="C32" s="256" t="s">
        <v>99</v>
      </c>
      <c r="D32" s="259">
        <f>+D30*D31</f>
        <v>485117.35219988332</v>
      </c>
    </row>
    <row r="33" spans="3:4">
      <c r="C33" s="251"/>
      <c r="D33" s="251"/>
    </row>
    <row r="34" spans="3:4" ht="15">
      <c r="C34" s="256" t="s">
        <v>160</v>
      </c>
      <c r="D34" s="251"/>
    </row>
    <row r="35" spans="3:4" ht="15">
      <c r="C35" s="257" t="s">
        <v>128</v>
      </c>
      <c r="D35" s="258">
        <f>+'INPUT PRECIARIO PLATAFORMA'!D18</f>
        <v>593326.52136366151</v>
      </c>
    </row>
    <row r="36" spans="3:4" ht="15">
      <c r="C36" s="257" t="s">
        <v>98</v>
      </c>
      <c r="D36" s="303">
        <f>+D$19</f>
        <v>1</v>
      </c>
    </row>
    <row r="37" spans="3:4" ht="15">
      <c r="C37" s="256" t="s">
        <v>99</v>
      </c>
      <c r="D37" s="305">
        <f>+D35*D36</f>
        <v>593326.52136366151</v>
      </c>
    </row>
    <row r="38" spans="3:4">
      <c r="C38" s="215"/>
      <c r="D38" s="215"/>
    </row>
    <row r="39" spans="3:4">
      <c r="C39" s="215"/>
      <c r="D39" s="215"/>
    </row>
    <row r="40" spans="3:4" ht="15.75">
      <c r="C40" s="241" t="s">
        <v>174</v>
      </c>
      <c r="D40" s="241"/>
    </row>
    <row r="41" spans="3:4">
      <c r="C41" s="252"/>
      <c r="D41" s="252"/>
    </row>
    <row r="42" spans="3:4">
      <c r="C42" s="260" t="s">
        <v>129</v>
      </c>
      <c r="D42" s="306">
        <f>+D27</f>
        <v>3030203.8587880894</v>
      </c>
    </row>
    <row r="43" spans="3:4">
      <c r="C43" s="260" t="s">
        <v>153</v>
      </c>
      <c r="D43" s="261">
        <f>+D32</f>
        <v>485117.35219988332</v>
      </c>
    </row>
    <row r="44" spans="3:4">
      <c r="C44" s="260" t="s">
        <v>159</v>
      </c>
      <c r="D44" s="306">
        <f>+D37</f>
        <v>593326.52136366151</v>
      </c>
    </row>
    <row r="45" spans="3:4">
      <c r="C45" s="215"/>
      <c r="D45" s="215"/>
    </row>
    <row r="46" spans="3:4">
      <c r="C46" s="215"/>
      <c r="D46" s="2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24">
    <tabColor rgb="FF0070C0"/>
  </sheetPr>
  <dimension ref="A4:F17"/>
  <sheetViews>
    <sheetView workbookViewId="0">
      <pane xSplit="2" ySplit="8" topLeftCell="C9" activePane="bottomRight" state="frozen"/>
      <selection activeCell="D39" sqref="D39"/>
      <selection pane="topRight" activeCell="D39" sqref="D39"/>
      <selection pane="bottomLeft" activeCell="D39" sqref="D39"/>
      <selection pane="bottomRight" activeCell="C9" sqref="C9"/>
    </sheetView>
  </sheetViews>
  <sheetFormatPr baseColWidth="10" defaultRowHeight="12.75"/>
  <cols>
    <col min="1" max="1" width="3.85546875" customWidth="1"/>
    <col min="2" max="2" width="46.42578125" customWidth="1"/>
    <col min="3" max="3" width="21.5703125" customWidth="1"/>
    <col min="4" max="4" width="16.85546875" customWidth="1"/>
    <col min="5" max="5" width="14.140625" customWidth="1"/>
  </cols>
  <sheetData>
    <row r="4" spans="1:6" s="101" customFormat="1">
      <c r="B4" s="198"/>
      <c r="C4" s="8"/>
      <c r="D4" s="8"/>
      <c r="E4" s="8"/>
    </row>
    <row r="5" spans="1:6" s="101" customFormat="1" ht="18">
      <c r="B5" s="262" t="s">
        <v>118</v>
      </c>
      <c r="C5" s="198"/>
      <c r="D5" s="198"/>
      <c r="E5" s="198"/>
    </row>
    <row r="6" spans="1:6" s="101" customFormat="1">
      <c r="B6" s="8"/>
      <c r="C6" s="8"/>
      <c r="D6" s="8"/>
      <c r="E6" s="8"/>
    </row>
    <row r="7" spans="1:6" ht="15.75">
      <c r="B7" s="197" t="s">
        <v>184</v>
      </c>
      <c r="C7" s="171"/>
      <c r="D7" s="171"/>
      <c r="E7" s="171"/>
    </row>
    <row r="8" spans="1:6">
      <c r="B8" s="8"/>
      <c r="C8" s="8"/>
      <c r="D8" s="8"/>
      <c r="E8" s="8"/>
    </row>
    <row r="9" spans="1:6">
      <c r="B9" s="8"/>
      <c r="C9" s="8"/>
      <c r="D9" s="8"/>
      <c r="E9" s="8"/>
    </row>
    <row r="10" spans="1:6">
      <c r="B10" s="263" t="s">
        <v>156</v>
      </c>
      <c r="C10" s="295">
        <v>1000</v>
      </c>
      <c r="D10" s="8"/>
      <c r="E10" s="8"/>
    </row>
    <row r="11" spans="1:6">
      <c r="B11" s="263" t="s">
        <v>183</v>
      </c>
      <c r="C11" s="295">
        <v>0.74</v>
      </c>
      <c r="D11" s="8"/>
      <c r="E11" s="8"/>
      <c r="F11" s="101"/>
    </row>
    <row r="12" spans="1:6">
      <c r="A12" s="101"/>
      <c r="B12" s="8"/>
      <c r="C12" s="8"/>
      <c r="D12" s="8"/>
      <c r="E12" s="8"/>
      <c r="F12" s="101"/>
    </row>
    <row r="13" spans="1:6" ht="25.5">
      <c r="A13" s="101"/>
      <c r="B13" s="263" t="s">
        <v>176</v>
      </c>
      <c r="C13" s="295">
        <f>+C10*C11</f>
        <v>740</v>
      </c>
      <c r="D13" s="203"/>
      <c r="E13" s="8"/>
      <c r="F13" s="101"/>
    </row>
    <row r="14" spans="1:6">
      <c r="A14" s="101"/>
      <c r="B14" s="8"/>
      <c r="C14" s="8"/>
      <c r="D14" s="8"/>
      <c r="E14" s="8"/>
      <c r="F14" s="101"/>
    </row>
    <row r="15" spans="1:6" ht="31.5">
      <c r="A15" s="101"/>
      <c r="B15" s="264" t="s">
        <v>155</v>
      </c>
      <c r="C15" s="318">
        <f>2*C13</f>
        <v>1480</v>
      </c>
      <c r="D15" s="203"/>
      <c r="E15" s="8"/>
      <c r="F15" s="101"/>
    </row>
    <row r="16" spans="1:6">
      <c r="B16" s="8"/>
      <c r="C16" s="8"/>
      <c r="D16" s="8"/>
      <c r="E16" s="8"/>
    </row>
    <row r="17" spans="4:4">
      <c r="D17" s="14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2" enableFormatConditionsCalculation="0">
    <tabColor indexed="33"/>
  </sheetPr>
  <dimension ref="A1:AB28"/>
  <sheetViews>
    <sheetView showGridLines="0" zoomScale="85" workbookViewId="0"/>
  </sheetViews>
  <sheetFormatPr baseColWidth="10" defaultColWidth="9.140625" defaultRowHeight="12.75"/>
  <cols>
    <col min="3" max="3" width="24.28515625" customWidth="1"/>
    <col min="4" max="4" width="13" style="2" customWidth="1"/>
    <col min="5" max="5" width="13" customWidth="1"/>
    <col min="6" max="6" width="13" style="2" customWidth="1"/>
    <col min="7" max="7" width="13" customWidth="1"/>
    <col min="8" max="8" width="13" style="2" customWidth="1"/>
    <col min="9" max="9" width="13" customWidth="1"/>
    <col min="10" max="10" width="13" style="2" customWidth="1"/>
    <col min="11" max="11" width="13" customWidth="1"/>
    <col min="12" max="12" width="13" style="2" customWidth="1"/>
    <col min="13" max="13" width="13" customWidth="1"/>
    <col min="14" max="14" width="13" style="2" customWidth="1"/>
    <col min="17" max="17" width="13.85546875" customWidth="1"/>
    <col min="18" max="18" width="12.28515625" bestFit="1" customWidth="1"/>
    <col min="19" max="19" width="11.28515625" bestFit="1" customWidth="1"/>
    <col min="20" max="23" width="12.28515625" bestFit="1" customWidth="1"/>
    <col min="24" max="24" width="7.140625" bestFit="1" customWidth="1"/>
    <col min="25" max="25" width="10.28515625" bestFit="1" customWidth="1"/>
    <col min="26" max="26" width="7.140625" bestFit="1" customWidth="1"/>
    <col min="27" max="27" width="10.28515625" bestFit="1" customWidth="1"/>
    <col min="28" max="28" width="7.140625" bestFit="1" customWidth="1"/>
  </cols>
  <sheetData>
    <row r="1" spans="1:28" ht="12" customHeight="1"/>
    <row r="2" spans="1:28" ht="12" customHeight="1"/>
    <row r="3" spans="1:28" ht="12" customHeight="1"/>
    <row r="4" spans="1:28" ht="12" customHeight="1"/>
    <row r="5" spans="1:28" ht="12" customHeight="1"/>
    <row r="6" spans="1:28" ht="12" customHeight="1"/>
    <row r="7" spans="1:28" ht="12" customHeight="1"/>
    <row r="8" spans="1:28" ht="12" customHeight="1"/>
    <row r="9" spans="1:28" ht="12" customHeight="1"/>
    <row r="10" spans="1:28" ht="12" customHeight="1"/>
    <row r="11" spans="1:28" ht="12" customHeight="1"/>
    <row r="12" spans="1:28" ht="12" customHeight="1"/>
    <row r="13" spans="1:28" s="101" customFormat="1" ht="12" customHeight="1">
      <c r="D13" s="2"/>
      <c r="F13" s="2"/>
      <c r="H13" s="2"/>
      <c r="J13" s="2"/>
      <c r="L13" s="2"/>
      <c r="N13" s="2"/>
    </row>
    <row r="14" spans="1:28" s="101" customFormat="1" ht="12" customHeight="1">
      <c r="D14" s="2"/>
      <c r="F14" s="2"/>
      <c r="H14" s="2"/>
      <c r="J14" s="2"/>
      <c r="L14" s="2"/>
      <c r="N14" s="2"/>
    </row>
    <row r="15" spans="1:28" ht="20.25">
      <c r="A15" s="5"/>
      <c r="B15" s="1"/>
      <c r="C15" s="1" t="s">
        <v>0</v>
      </c>
      <c r="D15" s="14"/>
      <c r="E15" s="1"/>
      <c r="F15" s="14"/>
      <c r="G15" s="1"/>
      <c r="H15" s="14"/>
      <c r="I15" s="1"/>
      <c r="J15" s="14"/>
      <c r="K15" s="1"/>
      <c r="L15" s="14"/>
      <c r="M15" s="1"/>
      <c r="N15" s="14"/>
      <c r="O15" s="6"/>
      <c r="P15" s="1"/>
      <c r="Q15" s="15" t="s">
        <v>1</v>
      </c>
      <c r="R15" s="14"/>
      <c r="S15" s="15"/>
      <c r="T15" s="14"/>
      <c r="U15" s="15"/>
      <c r="V15" s="14"/>
      <c r="W15" s="15"/>
      <c r="X15" s="14"/>
      <c r="Y15" s="15"/>
      <c r="Z15" s="14"/>
      <c r="AA15" s="15"/>
      <c r="AB15" s="14"/>
    </row>
    <row r="16" spans="1:28" s="3" customFormat="1">
      <c r="D16" s="4"/>
      <c r="F16" s="4"/>
      <c r="H16" s="4"/>
      <c r="J16" s="4"/>
      <c r="L16" s="4"/>
      <c r="N16" s="4"/>
      <c r="P16"/>
      <c r="Q16" s="17"/>
      <c r="R16" s="2"/>
      <c r="S16" s="17"/>
      <c r="T16" s="2"/>
      <c r="U16" s="17"/>
      <c r="V16" s="2"/>
      <c r="W16" s="17"/>
      <c r="X16" s="2"/>
      <c r="Y16" s="17"/>
      <c r="Z16" s="2"/>
      <c r="AA16" s="17"/>
      <c r="AB16" s="2"/>
    </row>
    <row r="17" spans="2:28" s="3" customFormat="1">
      <c r="C17" s="7"/>
      <c r="D17" s="10">
        <v>2004</v>
      </c>
      <c r="E17" s="10">
        <v>2005</v>
      </c>
      <c r="F17" s="10">
        <v>2006</v>
      </c>
      <c r="G17" s="10">
        <v>2007</v>
      </c>
      <c r="H17" s="10">
        <v>2008</v>
      </c>
      <c r="I17" s="10">
        <v>2009</v>
      </c>
      <c r="J17" s="4"/>
      <c r="L17" s="4"/>
      <c r="N17" s="4"/>
      <c r="P17"/>
      <c r="Q17" s="16"/>
      <c r="R17" s="10">
        <v>2004</v>
      </c>
      <c r="S17" s="10">
        <v>2005</v>
      </c>
      <c r="T17" s="10">
        <v>2006</v>
      </c>
      <c r="U17" s="10">
        <v>2007</v>
      </c>
      <c r="V17" s="10">
        <v>2008</v>
      </c>
      <c r="W17" s="10">
        <v>2009</v>
      </c>
      <c r="X17" s="2"/>
      <c r="Y17" s="17"/>
      <c r="Z17" s="2"/>
      <c r="AA17" s="17"/>
      <c r="AB17" s="2"/>
    </row>
    <row r="18" spans="2:28" s="3" customFormat="1">
      <c r="C18" s="9" t="s">
        <v>2</v>
      </c>
      <c r="D18" s="265">
        <v>0.80536675162843396</v>
      </c>
      <c r="E18" s="265">
        <v>0.80412295681873625</v>
      </c>
      <c r="F18" s="265">
        <v>0.79679287521899944</v>
      </c>
      <c r="G18" s="265">
        <v>0.73060576339264871</v>
      </c>
      <c r="H18" s="265">
        <v>0.68074756784434209</v>
      </c>
      <c r="I18" s="265">
        <v>0.71890666030078776</v>
      </c>
      <c r="J18" s="4"/>
      <c r="L18" s="4"/>
      <c r="N18" s="4"/>
      <c r="P18"/>
      <c r="Q18" s="9" t="s">
        <v>2</v>
      </c>
      <c r="R18" s="265">
        <v>3.4125000000000001</v>
      </c>
      <c r="S18" s="265">
        <v>3.2961</v>
      </c>
      <c r="T18" s="265">
        <v>3.2745000000000002</v>
      </c>
      <c r="U18" s="265">
        <v>3.1286</v>
      </c>
      <c r="V18" s="265">
        <v>2.9249000000000001</v>
      </c>
      <c r="W18" s="265">
        <v>3.0114999999999998</v>
      </c>
      <c r="X18" s="2"/>
      <c r="Y18" s="17"/>
      <c r="Z18" s="2"/>
      <c r="AA18" s="17"/>
      <c r="AB18" s="2"/>
    </row>
    <row r="19" spans="2:28" s="102" customFormat="1">
      <c r="D19" s="4"/>
      <c r="F19" s="4"/>
      <c r="H19" s="4"/>
      <c r="J19" s="4"/>
      <c r="L19" s="4"/>
      <c r="N19" s="4"/>
      <c r="P19" s="101"/>
      <c r="Q19" s="17"/>
      <c r="R19" s="2"/>
      <c r="S19" s="17"/>
      <c r="T19" s="2"/>
      <c r="U19" s="17"/>
      <c r="V19" s="2"/>
      <c r="W19" s="17"/>
      <c r="X19" s="2"/>
      <c r="Y19" s="17"/>
      <c r="Z19" s="2"/>
      <c r="AA19" s="17"/>
      <c r="AB19" s="2"/>
    </row>
    <row r="20" spans="2:28" s="102" customFormat="1">
      <c r="D20" s="4"/>
      <c r="F20" s="4"/>
      <c r="H20" s="4"/>
      <c r="J20" s="4"/>
      <c r="L20" s="4"/>
      <c r="N20" s="4"/>
      <c r="P20" s="101"/>
      <c r="Q20" s="17"/>
      <c r="R20" s="2"/>
      <c r="S20" s="17"/>
      <c r="T20" s="2"/>
      <c r="U20" s="17"/>
      <c r="V20" s="2"/>
      <c r="W20" s="17"/>
      <c r="X20" s="2"/>
      <c r="Y20" s="17"/>
      <c r="Z20" s="2"/>
      <c r="AA20" s="17"/>
      <c r="AB20" s="2"/>
    </row>
    <row r="21" spans="2:28" s="102" customFormat="1" ht="15.75">
      <c r="B21" s="197" t="s">
        <v>96</v>
      </c>
      <c r="C21" s="197"/>
      <c r="D21" s="266"/>
      <c r="E21" s="197"/>
      <c r="F21" s="266"/>
      <c r="G21" s="197"/>
      <c r="H21" s="266"/>
      <c r="I21" s="197"/>
      <c r="J21" s="266"/>
      <c r="K21" s="197"/>
      <c r="L21" s="266"/>
      <c r="M21" s="197"/>
      <c r="N21" s="266"/>
      <c r="P21" s="197" t="s">
        <v>96</v>
      </c>
      <c r="Q21" s="197"/>
      <c r="R21" s="266"/>
      <c r="S21" s="197"/>
      <c r="T21" s="266"/>
      <c r="U21" s="197"/>
      <c r="V21" s="266"/>
      <c r="W21" s="197"/>
      <c r="X21" s="266"/>
      <c r="Y21" s="197"/>
      <c r="Z21" s="266"/>
      <c r="AA21" s="197"/>
      <c r="AB21" s="266"/>
    </row>
    <row r="22" spans="2:28">
      <c r="B22" s="5" t="s">
        <v>9</v>
      </c>
      <c r="Q22" s="5" t="s">
        <v>9</v>
      </c>
      <c r="R22" s="2"/>
      <c r="S22" s="17"/>
      <c r="T22" s="2"/>
      <c r="U22" s="17"/>
      <c r="V22" s="2"/>
      <c r="W22" s="17"/>
      <c r="X22" s="2"/>
      <c r="Y22" s="17"/>
      <c r="Z22" s="2"/>
      <c r="AA22" s="17"/>
      <c r="AB22" s="2"/>
    </row>
    <row r="23" spans="2:28">
      <c r="C23" s="269">
        <v>2004</v>
      </c>
      <c r="D23" s="269"/>
      <c r="E23" s="269">
        <v>2005</v>
      </c>
      <c r="F23" s="269"/>
      <c r="G23" s="269">
        <v>2006</v>
      </c>
      <c r="H23" s="269"/>
      <c r="I23" s="269">
        <v>2007</v>
      </c>
      <c r="J23" s="269"/>
      <c r="K23" s="269">
        <v>2008</v>
      </c>
      <c r="L23" s="269"/>
      <c r="M23" s="269">
        <v>2009</v>
      </c>
      <c r="N23" s="269"/>
      <c r="Q23" s="269">
        <v>2004</v>
      </c>
      <c r="R23" s="269"/>
      <c r="S23" s="269">
        <v>2005</v>
      </c>
      <c r="T23" s="269"/>
      <c r="U23" s="269">
        <v>2006</v>
      </c>
      <c r="V23" s="269"/>
      <c r="W23" s="269">
        <v>2007</v>
      </c>
      <c r="X23" s="269"/>
      <c r="Y23" s="269">
        <v>2008</v>
      </c>
      <c r="Z23" s="269"/>
      <c r="AA23" s="269">
        <v>2009</v>
      </c>
      <c r="AB23" s="269"/>
    </row>
    <row r="24" spans="2:28">
      <c r="C24" s="8"/>
      <c r="D24" s="210"/>
      <c r="E24" s="8"/>
      <c r="F24" s="210"/>
      <c r="G24" s="8"/>
      <c r="H24" s="210"/>
      <c r="I24" s="8"/>
      <c r="J24" s="210"/>
      <c r="K24" s="8"/>
      <c r="L24" s="210"/>
      <c r="M24" s="8"/>
      <c r="N24" s="210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6" spans="2:28">
      <c r="C26" s="90"/>
    </row>
    <row r="28" spans="2:28">
      <c r="E28" s="2"/>
      <c r="G28" s="2"/>
      <c r="I28" s="2"/>
    </row>
  </sheetData>
  <mergeCells count="12">
    <mergeCell ref="K23:L23"/>
    <mergeCell ref="M23:N23"/>
    <mergeCell ref="C23:D23"/>
    <mergeCell ref="E23:F23"/>
    <mergeCell ref="G23:H23"/>
    <mergeCell ref="I23:J23"/>
    <mergeCell ref="Y23:Z23"/>
    <mergeCell ref="AA23:AB23"/>
    <mergeCell ref="Q23:R23"/>
    <mergeCell ref="S23:T23"/>
    <mergeCell ref="U23:V23"/>
    <mergeCell ref="W23:X23"/>
  </mergeCells>
  <phoneticPr fontId="14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T80"/>
  <sheetViews>
    <sheetView showGridLines="0" zoomScale="85" workbookViewId="0"/>
  </sheetViews>
  <sheetFormatPr baseColWidth="10" defaultColWidth="9.140625" defaultRowHeight="12.75"/>
  <cols>
    <col min="3" max="3" width="80.7109375" customWidth="1"/>
    <col min="4" max="4" width="28.140625" customWidth="1"/>
    <col min="5" max="5" width="28.28515625" customWidth="1"/>
    <col min="6" max="6" width="25.7109375" customWidth="1"/>
    <col min="7" max="7" width="15.42578125" customWidth="1"/>
    <col min="8" max="8" width="6.42578125" customWidth="1"/>
    <col min="9" max="9" width="11.28515625" customWidth="1"/>
    <col min="14" max="14" width="11.5703125" bestFit="1" customWidth="1"/>
  </cols>
  <sheetData>
    <row r="1" spans="1:18" ht="12" customHeight="1"/>
    <row r="2" spans="1:18" ht="12" customHeight="1"/>
    <row r="3" spans="1:18" ht="12" customHeight="1"/>
    <row r="4" spans="1:18" ht="12" customHeight="1"/>
    <row r="5" spans="1:18" ht="12" customHeight="1"/>
    <row r="6" spans="1:18" ht="12" customHeight="1"/>
    <row r="7" spans="1:18" ht="12" customHeight="1"/>
    <row r="8" spans="1:18" ht="12" customHeight="1"/>
    <row r="9" spans="1:18" ht="12" customHeight="1"/>
    <row r="10" spans="1:18" ht="12" customHeight="1"/>
    <row r="11" spans="1:18" s="101" customFormat="1" ht="12" customHeight="1"/>
    <row r="12" spans="1:18" s="101" customFormat="1" ht="12" customHeight="1"/>
    <row r="13" spans="1:18" ht="12" customHeight="1">
      <c r="E13" s="101"/>
      <c r="F13" s="101"/>
      <c r="G13" s="101"/>
    </row>
    <row r="14" spans="1:18" s="8" customFormat="1" ht="20.25">
      <c r="A14" s="5"/>
      <c r="B14" s="1"/>
      <c r="C14" s="1" t="s">
        <v>44</v>
      </c>
      <c r="D14" s="1"/>
      <c r="E14" s="101"/>
      <c r="F14" s="101"/>
      <c r="G14" s="101"/>
      <c r="K14" s="6"/>
      <c r="L14" s="6"/>
      <c r="M14" s="6"/>
      <c r="N14" s="6"/>
      <c r="O14" s="6"/>
      <c r="P14" s="6"/>
      <c r="Q14" s="6"/>
      <c r="R14" s="6"/>
    </row>
    <row r="15" spans="1:18">
      <c r="E15" s="101"/>
      <c r="F15" s="101"/>
      <c r="G15" s="101"/>
    </row>
    <row r="16" spans="1:18" s="101" customFormat="1"/>
    <row r="17" spans="3:16" s="101" customFormat="1"/>
    <row r="18" spans="3:16" s="101" customFormat="1"/>
    <row r="19" spans="3:16" s="101" customFormat="1">
      <c r="M19" s="138" t="s">
        <v>147</v>
      </c>
      <c r="N19" s="138"/>
      <c r="O19" s="138"/>
      <c r="P19" s="138"/>
    </row>
    <row r="20" spans="3:16">
      <c r="C20" s="13" t="s">
        <v>88</v>
      </c>
      <c r="D20" s="13" t="s">
        <v>50</v>
      </c>
      <c r="E20" s="101"/>
      <c r="F20" s="101"/>
      <c r="G20" s="101"/>
      <c r="N20" s="122" t="s">
        <v>88</v>
      </c>
      <c r="O20" s="122" t="s">
        <v>89</v>
      </c>
      <c r="P20" s="122" t="s">
        <v>90</v>
      </c>
    </row>
    <row r="21" spans="3:16">
      <c r="C21" s="184" t="s">
        <v>129</v>
      </c>
      <c r="D21" s="308">
        <f>+Anualidades_plataforma!W27</f>
        <v>997181.83956337429</v>
      </c>
      <c r="E21" s="101"/>
      <c r="F21" s="101"/>
      <c r="G21" s="101"/>
      <c r="M21" s="82">
        <v>1996</v>
      </c>
      <c r="N21" s="72" t="e">
        <f>+SUMIF(Anualidades_plataforma!#REF!,Costos!M21,Anualidades_plataforma!#REF!)</f>
        <v>#REF!</v>
      </c>
      <c r="O21" s="69" t="e">
        <f>+SUMIF(#REF!,Costos!M21,#REF!)</f>
        <v>#REF!</v>
      </c>
      <c r="P21" s="69" t="e">
        <f>+SUMIF(#REF!,Costos!M21,#REF!)</f>
        <v>#REF!</v>
      </c>
    </row>
    <row r="22" spans="3:16">
      <c r="C22" s="185" t="s">
        <v>158</v>
      </c>
      <c r="D22" s="319">
        <f>+Anualidades_plataforma!W29</f>
        <v>487039.54959124181</v>
      </c>
      <c r="E22" s="101"/>
      <c r="F22" s="101"/>
      <c r="G22" s="101"/>
      <c r="M22" s="82">
        <f>+M21+1</f>
        <v>1997</v>
      </c>
      <c r="N22" s="65" t="e">
        <f>+SUMIF(Anualidades_plataforma!#REF!,Costos!M22,Anualidades_plataforma!#REF!)</f>
        <v>#REF!</v>
      </c>
      <c r="O22" s="70" t="e">
        <f>+SUMIF(#REF!,Costos!M22,#REF!)</f>
        <v>#REF!</v>
      </c>
      <c r="P22" s="70" t="e">
        <f>+SUMIF(#REF!,Costos!M22,#REF!)</f>
        <v>#REF!</v>
      </c>
    </row>
    <row r="23" spans="3:16">
      <c r="C23" s="75" t="s">
        <v>7</v>
      </c>
      <c r="D23" s="309">
        <f>SUM(D21:D22)</f>
        <v>1484221.389154616</v>
      </c>
      <c r="E23" s="101"/>
      <c r="F23" s="101"/>
      <c r="G23" s="101"/>
      <c r="M23" s="82">
        <f>+M22+1</f>
        <v>1998</v>
      </c>
      <c r="N23" s="65" t="e">
        <f>+SUMIF(Anualidades_plataforma!#REF!,Costos!M23,Anualidades_plataforma!#REF!)</f>
        <v>#REF!</v>
      </c>
      <c r="O23" s="70" t="e">
        <f>+SUMIF(#REF!,Costos!M23,#REF!)</f>
        <v>#REF!</v>
      </c>
      <c r="P23" s="70" t="e">
        <f>+SUMIF(#REF!,Costos!M23,#REF!)</f>
        <v>#REF!</v>
      </c>
    </row>
    <row r="24" spans="3:16">
      <c r="C24" s="13" t="s">
        <v>89</v>
      </c>
      <c r="D24" s="13" t="s">
        <v>50</v>
      </c>
      <c r="E24" s="101"/>
      <c r="F24" s="101"/>
      <c r="G24" s="101"/>
      <c r="M24" s="82">
        <f t="shared" ref="M24:M25" si="0">+M23+1</f>
        <v>1999</v>
      </c>
      <c r="N24" s="65" t="e">
        <f>+SUMIF(Anualidades_plataforma!#REF!,Costos!M24,Anualidades_plataforma!#REF!)</f>
        <v>#REF!</v>
      </c>
      <c r="O24" s="70" t="e">
        <f>+SUMIF(#REF!,Costos!M24,#REF!)</f>
        <v>#REF!</v>
      </c>
      <c r="P24" s="70" t="e">
        <f>+SUMIF(#REF!,Costos!M24,#REF!)</f>
        <v>#REF!</v>
      </c>
    </row>
    <row r="25" spans="3:16" s="8" customFormat="1">
      <c r="C25" s="186" t="s">
        <v>153</v>
      </c>
      <c r="D25" s="187">
        <f>+Anualidades_plataforma!W28</f>
        <v>159642.79507724798</v>
      </c>
      <c r="E25" s="101"/>
      <c r="F25" s="101"/>
      <c r="G25" s="101"/>
      <c r="M25" s="82">
        <f t="shared" si="0"/>
        <v>2000</v>
      </c>
      <c r="N25" s="65" t="e">
        <f>+SUMIF(Anualidades_plataforma!#REF!,Costos!M25,Anualidades_plataforma!#REF!)</f>
        <v>#REF!</v>
      </c>
      <c r="O25" s="70" t="e">
        <f>+SUMIF(#REF!,Costos!M25,#REF!)</f>
        <v>#REF!</v>
      </c>
      <c r="P25" s="70" t="e">
        <f>+SUMIF(#REF!,Costos!M25,#REF!)</f>
        <v>#REF!</v>
      </c>
    </row>
    <row r="26" spans="3:16" s="8" customFormat="1">
      <c r="C26" s="75" t="s">
        <v>7</v>
      </c>
      <c r="D26" s="106">
        <f>+D25</f>
        <v>159642.79507724798</v>
      </c>
      <c r="E26" s="101"/>
      <c r="F26" s="101"/>
      <c r="G26" s="101"/>
    </row>
    <row r="27" spans="3:16" s="8" customFormat="1">
      <c r="C27" s="13" t="s">
        <v>92</v>
      </c>
      <c r="D27" s="13" t="s">
        <v>50</v>
      </c>
      <c r="E27" s="101"/>
      <c r="F27" s="101"/>
      <c r="G27" s="101"/>
    </row>
    <row r="28" spans="3:16">
      <c r="C28" s="75" t="s">
        <v>7</v>
      </c>
      <c r="D28" s="106">
        <v>0</v>
      </c>
      <c r="E28" s="101"/>
      <c r="F28" s="101"/>
      <c r="G28" s="101"/>
    </row>
    <row r="29" spans="3:16">
      <c r="C29" s="13" t="s">
        <v>84</v>
      </c>
      <c r="D29" s="13"/>
      <c r="E29" s="101"/>
      <c r="F29" s="101"/>
      <c r="G29" s="101"/>
    </row>
    <row r="30" spans="3:16">
      <c r="C30" s="114" t="s">
        <v>7</v>
      </c>
      <c r="D30" s="310">
        <f>+SUM(D28,D26,D23)</f>
        <v>1643864.1842318641</v>
      </c>
      <c r="E30" s="101"/>
      <c r="F30" s="101"/>
      <c r="G30" s="101"/>
    </row>
    <row r="31" spans="3:16">
      <c r="E31" s="101"/>
      <c r="F31" s="101"/>
      <c r="G31" s="101"/>
    </row>
    <row r="32" spans="3:16">
      <c r="E32" s="101"/>
      <c r="F32" s="101"/>
      <c r="G32" s="101"/>
    </row>
    <row r="33" spans="1:20" ht="20.25">
      <c r="B33" s="1" t="s">
        <v>45</v>
      </c>
      <c r="C33" s="1"/>
      <c r="D33" s="1"/>
      <c r="E33" s="101"/>
      <c r="F33" s="101"/>
      <c r="G33" s="101"/>
    </row>
    <row r="34" spans="1:20" s="3" customFormat="1">
      <c r="E34" s="101"/>
      <c r="F34" s="101"/>
      <c r="G34" s="101"/>
    </row>
    <row r="35" spans="1:20" s="8" customFormat="1" ht="27" customHeight="1">
      <c r="A35" s="5"/>
      <c r="C35" s="188" t="s">
        <v>159</v>
      </c>
      <c r="D35" s="13" t="s">
        <v>50</v>
      </c>
      <c r="E35" s="101"/>
      <c r="F35" s="101"/>
      <c r="G35" s="101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C36" s="189" t="s">
        <v>159</v>
      </c>
      <c r="D36" s="311">
        <f>+'CAPEX y OPEX'!D29</f>
        <v>593326.52136366151</v>
      </c>
      <c r="E36" s="101"/>
      <c r="F36" s="101"/>
      <c r="G36" s="101"/>
    </row>
    <row r="37" spans="1:20">
      <c r="C37" s="93" t="s">
        <v>11</v>
      </c>
      <c r="D37" s="312">
        <f>+D36</f>
        <v>593326.52136366151</v>
      </c>
      <c r="E37" s="101"/>
      <c r="F37" s="101"/>
      <c r="G37" s="101"/>
    </row>
    <row r="38" spans="1:20">
      <c r="C38" s="19" t="s">
        <v>56</v>
      </c>
      <c r="D38" s="85" t="s">
        <v>73</v>
      </c>
      <c r="E38" s="101"/>
      <c r="F38" s="101"/>
      <c r="G38" s="101"/>
    </row>
    <row r="39" spans="1:20">
      <c r="C39" s="69" t="s">
        <v>70</v>
      </c>
      <c r="D39" s="152">
        <f>+'CAPEX y OPEX'!E43</f>
        <v>0</v>
      </c>
      <c r="E39" s="101"/>
      <c r="F39" s="101"/>
      <c r="G39" s="101"/>
      <c r="H39" s="8"/>
      <c r="I39" s="8"/>
    </row>
    <row r="40" spans="1:20">
      <c r="C40" s="71" t="s">
        <v>71</v>
      </c>
      <c r="D40" s="153">
        <f>+'CAPEX y OPEX'!H43</f>
        <v>0</v>
      </c>
      <c r="E40" s="101"/>
      <c r="F40" s="101"/>
      <c r="G40" s="101"/>
      <c r="H40" s="92"/>
      <c r="I40" s="8"/>
    </row>
    <row r="41" spans="1:20">
      <c r="C41" s="140" t="s">
        <v>72</v>
      </c>
      <c r="D41" s="151">
        <f>+SUM(D39:D40)</f>
        <v>0</v>
      </c>
      <c r="E41" s="101"/>
      <c r="F41" s="101"/>
      <c r="G41" s="101"/>
      <c r="H41" s="92"/>
      <c r="I41" s="8"/>
    </row>
    <row r="42" spans="1:20">
      <c r="C42" s="19" t="s">
        <v>76</v>
      </c>
      <c r="D42" s="85" t="s">
        <v>73</v>
      </c>
      <c r="E42" s="101"/>
      <c r="F42" s="101"/>
      <c r="G42" s="101"/>
      <c r="H42" s="92"/>
      <c r="I42" s="8"/>
    </row>
    <row r="43" spans="1:20">
      <c r="C43" s="88" t="s">
        <v>52</v>
      </c>
      <c r="D43" s="89">
        <v>0</v>
      </c>
      <c r="E43" s="101"/>
      <c r="F43" s="101"/>
      <c r="G43" s="101"/>
      <c r="H43" s="92"/>
      <c r="I43" s="8"/>
    </row>
    <row r="44" spans="1:20">
      <c r="C44" s="19" t="s">
        <v>80</v>
      </c>
      <c r="D44" s="85" t="s">
        <v>73</v>
      </c>
      <c r="E44" s="101"/>
      <c r="F44" s="101"/>
      <c r="G44" s="101"/>
    </row>
    <row r="45" spans="1:20">
      <c r="C45" s="154" t="s">
        <v>77</v>
      </c>
      <c r="D45" s="73">
        <v>0</v>
      </c>
      <c r="E45" s="101"/>
      <c r="F45" s="101"/>
      <c r="G45" s="101"/>
    </row>
    <row r="46" spans="1:20">
      <c r="C46" s="154" t="s">
        <v>78</v>
      </c>
      <c r="D46" s="99">
        <v>0</v>
      </c>
      <c r="E46" s="101"/>
      <c r="F46" s="101"/>
      <c r="G46" s="101"/>
    </row>
    <row r="47" spans="1:20">
      <c r="C47" s="155" t="s">
        <v>79</v>
      </c>
      <c r="D47" s="74">
        <v>0</v>
      </c>
      <c r="E47" s="101"/>
      <c r="F47" s="101"/>
      <c r="G47" s="101"/>
    </row>
    <row r="48" spans="1:20">
      <c r="C48" s="100" t="s">
        <v>81</v>
      </c>
      <c r="D48" s="156">
        <f>SUM(D45:D47)</f>
        <v>0</v>
      </c>
      <c r="E48" s="101"/>
      <c r="F48" s="101"/>
      <c r="G48" s="101"/>
    </row>
    <row r="49" spans="2:7">
      <c r="C49" s="19" t="s">
        <v>74</v>
      </c>
      <c r="D49" s="85" t="s">
        <v>73</v>
      </c>
      <c r="E49" s="101"/>
      <c r="F49" s="101"/>
      <c r="G49" s="101"/>
    </row>
    <row r="50" spans="2:7">
      <c r="C50" s="94" t="s">
        <v>7</v>
      </c>
      <c r="D50" s="313">
        <f>+SUM(D37,D48,D41,D43)</f>
        <v>593326.52136366151</v>
      </c>
      <c r="E50" s="101"/>
      <c r="F50" s="101"/>
      <c r="G50" s="101"/>
    </row>
    <row r="51" spans="2:7">
      <c r="E51" s="101"/>
      <c r="F51" s="101"/>
      <c r="G51" s="101"/>
    </row>
    <row r="52" spans="2:7" ht="20.25">
      <c r="B52" s="1"/>
      <c r="C52" s="1" t="s">
        <v>43</v>
      </c>
      <c r="D52" s="1"/>
      <c r="E52" s="101"/>
      <c r="F52" s="101"/>
      <c r="G52" s="101"/>
    </row>
    <row r="53" spans="2:7">
      <c r="E53" s="101"/>
      <c r="F53" s="101"/>
      <c r="G53" s="101"/>
    </row>
    <row r="54" spans="2:7">
      <c r="C54" s="13" t="s">
        <v>10</v>
      </c>
      <c r="D54" s="85" t="s">
        <v>50</v>
      </c>
      <c r="E54" s="101"/>
      <c r="F54" s="101"/>
      <c r="G54" s="101"/>
    </row>
    <row r="55" spans="2:7" s="101" customFormat="1">
      <c r="C55" s="144" t="s">
        <v>70</v>
      </c>
      <c r="D55" s="292">
        <f>+'Gastos TPP'!$R$30</f>
        <v>19923.626099950194</v>
      </c>
    </row>
    <row r="56" spans="2:7" s="101" customFormat="1">
      <c r="C56" s="70" t="s">
        <v>71</v>
      </c>
      <c r="D56" s="293">
        <f>+'Gastos TPP'!$R$39</f>
        <v>19923.626099950194</v>
      </c>
    </row>
    <row r="57" spans="2:7">
      <c r="B57" s="64"/>
      <c r="C57" s="145" t="s">
        <v>47</v>
      </c>
      <c r="D57" s="86">
        <v>0</v>
      </c>
      <c r="E57" s="101"/>
      <c r="F57" s="101"/>
      <c r="G57" s="101"/>
    </row>
    <row r="58" spans="2:7">
      <c r="B58" s="64"/>
      <c r="C58" s="87" t="s">
        <v>12</v>
      </c>
      <c r="D58" s="18">
        <v>0</v>
      </c>
      <c r="E58" s="101"/>
      <c r="F58" s="101"/>
      <c r="G58" s="101"/>
    </row>
    <row r="59" spans="2:7">
      <c r="C59" s="88" t="s">
        <v>11</v>
      </c>
      <c r="D59" s="294">
        <f>+D55+D56+D57+D58</f>
        <v>39847.252199900387</v>
      </c>
      <c r="E59" s="101"/>
      <c r="F59" s="101"/>
      <c r="G59" s="101"/>
    </row>
    <row r="60" spans="2:7">
      <c r="E60" s="101"/>
      <c r="F60" s="101"/>
      <c r="G60" s="101"/>
    </row>
    <row r="61" spans="2:7">
      <c r="E61" s="101"/>
      <c r="F61" s="101"/>
      <c r="G61" s="101"/>
    </row>
    <row r="62" spans="2:7">
      <c r="E62" s="101"/>
      <c r="F62" s="101"/>
      <c r="G62" s="101"/>
    </row>
    <row r="63" spans="2:7">
      <c r="E63" s="101"/>
      <c r="F63" s="101"/>
      <c r="G63" s="101"/>
    </row>
    <row r="64" spans="2:7">
      <c r="E64" s="101"/>
      <c r="F64" s="101"/>
      <c r="G64" s="101"/>
    </row>
    <row r="65" spans="5:7">
      <c r="E65" s="101"/>
      <c r="F65" s="101"/>
      <c r="G65" s="101"/>
    </row>
    <row r="66" spans="5:7">
      <c r="E66" s="101"/>
      <c r="F66" s="101"/>
      <c r="G66" s="101"/>
    </row>
    <row r="67" spans="5:7">
      <c r="E67" s="101"/>
      <c r="F67" s="101"/>
      <c r="G67" s="101"/>
    </row>
    <row r="68" spans="5:7">
      <c r="E68" s="101"/>
      <c r="F68" s="101"/>
      <c r="G68" s="101"/>
    </row>
    <row r="69" spans="5:7">
      <c r="E69" s="101"/>
      <c r="F69" s="101"/>
      <c r="G69" s="101"/>
    </row>
    <row r="70" spans="5:7">
      <c r="E70" s="101"/>
      <c r="F70" s="101"/>
      <c r="G70" s="101"/>
    </row>
    <row r="71" spans="5:7">
      <c r="E71" s="101"/>
      <c r="F71" s="101"/>
      <c r="G71" s="101"/>
    </row>
    <row r="72" spans="5:7">
      <c r="E72" s="101"/>
      <c r="F72" s="101"/>
      <c r="G72" s="101"/>
    </row>
    <row r="73" spans="5:7">
      <c r="E73" s="101"/>
      <c r="F73" s="101"/>
      <c r="G73" s="101"/>
    </row>
    <row r="74" spans="5:7">
      <c r="E74" s="101"/>
      <c r="F74" s="101"/>
      <c r="G74" s="101"/>
    </row>
    <row r="75" spans="5:7">
      <c r="E75" s="101"/>
      <c r="F75" s="101"/>
      <c r="G75" s="101"/>
    </row>
    <row r="76" spans="5:7">
      <c r="E76" s="101"/>
      <c r="F76" s="101"/>
      <c r="G76" s="101"/>
    </row>
    <row r="77" spans="5:7">
      <c r="E77" s="101"/>
      <c r="F77" s="101"/>
      <c r="G77" s="101"/>
    </row>
    <row r="78" spans="5:7">
      <c r="E78" s="101"/>
      <c r="F78" s="101"/>
      <c r="G78" s="101"/>
    </row>
    <row r="79" spans="5:7">
      <c r="E79" s="101"/>
      <c r="F79" s="101"/>
      <c r="G79" s="101"/>
    </row>
    <row r="80" spans="5:7">
      <c r="E80" s="101"/>
      <c r="F80" s="101"/>
      <c r="G80" s="101"/>
    </row>
  </sheetData>
  <dataConsolidate/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 enableFormatConditionsCalculation="0">
    <tabColor indexed="34"/>
  </sheetPr>
  <dimension ref="B1:AX30"/>
  <sheetViews>
    <sheetView showGridLines="0" zoomScaleNormal="100" workbookViewId="0"/>
  </sheetViews>
  <sheetFormatPr baseColWidth="10" defaultColWidth="9.140625" defaultRowHeight="12.75"/>
  <cols>
    <col min="2" max="2" width="9" customWidth="1"/>
    <col min="3" max="3" width="29.42578125" customWidth="1"/>
    <col min="4" max="9" width="13.85546875" style="20" bestFit="1" customWidth="1"/>
    <col min="10" max="17" width="13.85546875" style="20" customWidth="1"/>
    <col min="18" max="18" width="17.140625" style="20" bestFit="1" customWidth="1"/>
    <col min="19" max="19" width="13.85546875" bestFit="1" customWidth="1"/>
    <col min="20" max="20" width="22" customWidth="1"/>
    <col min="21" max="21" width="26.7109375" customWidth="1"/>
    <col min="22" max="27" width="14.5703125" bestFit="1" customWidth="1"/>
    <col min="28" max="28" width="14.7109375" bestFit="1" customWidth="1"/>
    <col min="29" max="29" width="10.5703125" bestFit="1" customWidth="1"/>
    <col min="30" max="30" width="12.7109375" customWidth="1"/>
    <col min="31" max="36" width="14.5703125" customWidth="1"/>
    <col min="37" max="37" width="17" customWidth="1"/>
  </cols>
  <sheetData>
    <row r="1" spans="2:50" ht="12" customHeight="1"/>
    <row r="2" spans="2:50" ht="12" customHeight="1"/>
    <row r="3" spans="2:50" ht="12" customHeight="1"/>
    <row r="4" spans="2:50" ht="12" customHeight="1"/>
    <row r="5" spans="2:50" ht="12" customHeight="1"/>
    <row r="6" spans="2:50" ht="12" customHeight="1"/>
    <row r="7" spans="2:50" ht="12" customHeight="1"/>
    <row r="8" spans="2:50" ht="12" customHeight="1"/>
    <row r="9" spans="2:50" ht="12" customHeight="1"/>
    <row r="10" spans="2:50" ht="12" customHeight="1"/>
    <row r="11" spans="2:50" ht="12" customHeight="1"/>
    <row r="12" spans="2:50" s="101" customFormat="1" ht="12" customHeight="1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2:50" s="101" customFormat="1" ht="12" customHeigh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50" ht="20.25">
      <c r="B14" s="1"/>
      <c r="C14" s="1" t="s">
        <v>48</v>
      </c>
      <c r="D14" s="15"/>
      <c r="E14" s="15"/>
      <c r="F14" s="15"/>
      <c r="G14" s="15"/>
      <c r="H14" s="15"/>
      <c r="I14" s="15"/>
      <c r="J14" s="15"/>
      <c r="K14" s="1"/>
      <c r="L14" s="1"/>
      <c r="M14" s="15"/>
      <c r="N14" s="15"/>
      <c r="O14" s="15"/>
      <c r="P14" s="15"/>
      <c r="Q14" s="15"/>
      <c r="R14" s="15"/>
      <c r="S14" s="15"/>
      <c r="T14" s="15"/>
      <c r="U14" s="1"/>
      <c r="V14" s="1"/>
      <c r="W14" s="15"/>
      <c r="X14" s="15"/>
      <c r="Y14" s="15"/>
      <c r="Z14" s="15"/>
      <c r="AA14" s="15"/>
      <c r="AB14" s="15"/>
    </row>
    <row r="15" spans="2:50">
      <c r="C15" s="2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9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I15" s="9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>
      <c r="C16" s="2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9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I16" s="9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</row>
    <row r="17" spans="2:36" ht="23.25" customHeight="1">
      <c r="B17" s="1"/>
      <c r="C17" s="1" t="s">
        <v>15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T17" s="24"/>
      <c r="U17" s="24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2"/>
    </row>
    <row r="18" spans="2:36">
      <c r="C18" s="8"/>
      <c r="D18" s="8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2:36" s="115" customFormat="1">
      <c r="C19" s="116"/>
      <c r="D19" s="117"/>
      <c r="E19" s="118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8"/>
      <c r="T19" s="118"/>
      <c r="U19" s="116"/>
      <c r="V19" s="117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</row>
    <row r="20" spans="2:36" ht="20.25">
      <c r="B20" s="1"/>
      <c r="C20" s="1" t="s">
        <v>16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1"/>
      <c r="T20" s="1"/>
      <c r="U20" s="1" t="s">
        <v>17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2:36">
      <c r="C21" s="8"/>
      <c r="D21" s="8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20"/>
      <c r="T21" s="67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2:36" s="115" customFormat="1"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2:36" ht="20.25">
      <c r="B23" s="1"/>
      <c r="C23" s="1" t="s">
        <v>49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21"/>
      <c r="T23" s="1"/>
      <c r="U23" s="1" t="s">
        <v>91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2:36">
      <c r="C24" s="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2:36">
      <c r="D25"/>
      <c r="S25" s="20"/>
    </row>
    <row r="26" spans="2:36" ht="25.5">
      <c r="T26" s="188" t="s">
        <v>111</v>
      </c>
      <c r="U26" s="188" t="s">
        <v>143</v>
      </c>
      <c r="V26" s="188" t="s">
        <v>157</v>
      </c>
      <c r="W26" s="188" t="s">
        <v>44</v>
      </c>
    </row>
    <row r="27" spans="2:36" ht="25.5">
      <c r="T27" s="190" t="s">
        <v>129</v>
      </c>
      <c r="U27" s="307">
        <f>+'CAPEX y OPEX'!D17</f>
        <v>3030203.8587880894</v>
      </c>
      <c r="V27" s="191">
        <f>+VLOOKUP(sVU,'INPUT-ANUALIZACION'!$A$6:$B$35,2,FALSE)</f>
        <v>0.32908077675083908</v>
      </c>
      <c r="W27" s="296">
        <f>+U27*V27</f>
        <v>997181.83956337429</v>
      </c>
    </row>
    <row r="28" spans="2:36">
      <c r="T28" s="192" t="s">
        <v>153</v>
      </c>
      <c r="U28" s="191">
        <f>+'CAPEX y OPEX'!AV17</f>
        <v>485117.35219988332</v>
      </c>
      <c r="V28" s="191">
        <f>+VLOOKUP(sVU,'INPUT-ANUALIZACION'!$A$6:$B$35,2,FALSE)</f>
        <v>0.32908077675083908</v>
      </c>
      <c r="W28" s="176">
        <f>+U28*V28</f>
        <v>159642.79507724798</v>
      </c>
    </row>
    <row r="29" spans="2:36" s="101" customFormat="1" ht="25.5"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T29" s="192" t="s">
        <v>158</v>
      </c>
      <c r="U29" s="307">
        <f>+'CAPEX y OPEX'!D18</f>
        <v>1480000</v>
      </c>
      <c r="V29" s="191">
        <f>+VLOOKUP(sVU,'INPUT-ANUALIZACION'!$A$6:$B$35,2,FALSE)</f>
        <v>0.32908077675083908</v>
      </c>
      <c r="W29" s="296">
        <f>+U29*V29</f>
        <v>487039.54959124181</v>
      </c>
    </row>
    <row r="30" spans="2:36">
      <c r="T30" s="88" t="s">
        <v>7</v>
      </c>
      <c r="U30" s="296">
        <f>SUM(U27:U29)</f>
        <v>4995321.2109879721</v>
      </c>
      <c r="V30" s="88"/>
      <c r="W30" s="296">
        <f>SUM(W27:W29)</f>
        <v>1643864.1842318641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1">
    <tabColor rgb="FF0070C0"/>
  </sheetPr>
  <dimension ref="A5:B35"/>
  <sheetViews>
    <sheetView workbookViewId="0"/>
  </sheetViews>
  <sheetFormatPr baseColWidth="10" defaultRowHeight="12.75"/>
  <cols>
    <col min="2" max="2" width="20.140625" customWidth="1"/>
  </cols>
  <sheetData>
    <row r="5" spans="1:2" ht="38.25">
      <c r="A5" s="188" t="s">
        <v>154</v>
      </c>
      <c r="B5" s="188" t="s">
        <v>168</v>
      </c>
    </row>
    <row r="6" spans="1:2" ht="15">
      <c r="A6" s="193">
        <v>2</v>
      </c>
      <c r="B6" s="194">
        <f>1+WACC</f>
        <v>1.1506000000000001</v>
      </c>
    </row>
    <row r="7" spans="1:2" ht="15">
      <c r="A7" s="193">
        <v>3</v>
      </c>
      <c r="B7" s="194">
        <f>(WACC*(1-1/(9*(1+WACC)^2)))/(1-1/(1+WACC)^2)</f>
        <v>0.56392134701426955</v>
      </c>
    </row>
    <row r="8" spans="1:2" ht="15">
      <c r="A8" s="193">
        <v>4</v>
      </c>
      <c r="B8" s="194">
        <f>(WACC*(1-1/(8*(1+WACC)^3)))/(1-1/(1+WACC)^3)</f>
        <v>0.40243621990598893</v>
      </c>
    </row>
    <row r="9" spans="1:2" ht="15">
      <c r="A9" s="193">
        <v>5</v>
      </c>
      <c r="B9" s="194">
        <f>(WACC*(1-27/(250*(1+WACC)^4)))/(1-1/(1+WACC)^4)</f>
        <v>0.32908077675083908</v>
      </c>
    </row>
    <row r="10" spans="1:2" ht="15">
      <c r="A10" s="193">
        <v>6</v>
      </c>
      <c r="B10" s="194">
        <f>(WACC*(1-8/(81*(1+WACC)^5)))/(1-1/(1+WACC)^5)</f>
        <v>0.28410839366150292</v>
      </c>
    </row>
    <row r="11" spans="1:2" ht="15">
      <c r="A11" s="193">
        <v>7</v>
      </c>
      <c r="B11" s="194">
        <f>(WACC*(1-1250/(7203*(1+WACC)^5)))/(1-1/(1+WACC)^5)</f>
        <v>0.27303150754312999</v>
      </c>
    </row>
    <row r="12" spans="1:2" ht="15">
      <c r="A12" s="193">
        <v>8</v>
      </c>
      <c r="B12" s="194">
        <f>(WACC*(1-243/(1024*(1+WACC)^5)))/(1-1/(1+WACC)^5)</f>
        <v>0.26358526449352976</v>
      </c>
    </row>
    <row r="13" spans="1:2" ht="15">
      <c r="A13" s="193">
        <v>9</v>
      </c>
      <c r="B13" s="194">
        <f>(WACC*(1-16807/(59049*(1+WACC)^5)))/(1-1/(1+WACC)^5)</f>
        <v>0.2565748119031363</v>
      </c>
    </row>
    <row r="14" spans="1:2" ht="15">
      <c r="A14" s="193">
        <v>10</v>
      </c>
      <c r="B14" s="194">
        <f>(WACC*(1-1024/(3125*(1+WACC)^5)))/(1-1/(1+WACC)^5)</f>
        <v>0.25019711536091277</v>
      </c>
    </row>
    <row r="15" spans="1:2" ht="15">
      <c r="A15" s="193">
        <v>11</v>
      </c>
      <c r="B15" s="194">
        <f>(WACC*(1-59049/(161051*(1+WACC)^5)))/(1-1/(1+WACC)^5)</f>
        <v>0.24442444213333173</v>
      </c>
    </row>
    <row r="16" spans="1:2" ht="15">
      <c r="A16" s="193">
        <v>12</v>
      </c>
      <c r="B16" s="194">
        <f>(WACC*(1-3125/(7776*(1+WACC)^5)))/(1-1/(1+WACC)^5)</f>
        <v>0.23920552781387699</v>
      </c>
    </row>
    <row r="17" spans="1:2" ht="15">
      <c r="A17" s="193">
        <v>13</v>
      </c>
      <c r="B17" s="194">
        <f>(WACC*(1-161051/(371293*(1+WACC)^5)))/(1-1/(1+WACC)^5)</f>
        <v>0.23448290205378611</v>
      </c>
    </row>
    <row r="18" spans="1:2" ht="15">
      <c r="A18" s="193">
        <v>14</v>
      </c>
      <c r="B18" s="194">
        <f>(WACC*(1-7776/(16807*(1+WACC)^5)))/(1-1/(1+WACC)^5)</f>
        <v>0.23020060554980734</v>
      </c>
    </row>
    <row r="19" spans="1:2" ht="15">
      <c r="A19" s="193">
        <v>15</v>
      </c>
      <c r="B19" s="194">
        <f>(WACC*(1-371293/(759375*(1+WACC)^5)))/(1-1/(1+WACC)^5)</f>
        <v>0.2263073306724287</v>
      </c>
    </row>
    <row r="20" spans="1:2" ht="15">
      <c r="A20" s="193">
        <v>16</v>
      </c>
      <c r="B20" s="194">
        <f>(WACC*(1-16807/(32768*(1+WACC)^5)))/(1-1/(1+WACC)^5)</f>
        <v>0.22275740263209137</v>
      </c>
    </row>
    <row r="21" spans="1:2" ht="15">
      <c r="A21" s="193">
        <v>17</v>
      </c>
      <c r="B21" s="194">
        <f>(WACC*(1-759375/(1419857*(1+WACC)^5)))/(1-1/(1+WACC)^5)</f>
        <v>0.21951077097614799</v>
      </c>
    </row>
    <row r="22" spans="1:2" ht="15">
      <c r="A22" s="193">
        <v>18</v>
      </c>
      <c r="B22" s="194">
        <f>(WACC*(1-32768/(59049*(1+WACC)^5)))/(1-1/(1+WACC)^5)</f>
        <v>0.21653257969855422</v>
      </c>
    </row>
    <row r="23" spans="1:2" ht="15">
      <c r="A23" s="193">
        <v>19</v>
      </c>
      <c r="B23" s="194">
        <f>(WACC*(1-1419857/(2476099*(1+WACC)^5)))/(1-1/(1+WACC)^5)</f>
        <v>0.21379259023011746</v>
      </c>
    </row>
    <row r="24" spans="1:2" ht="15">
      <c r="A24" s="193">
        <v>20</v>
      </c>
      <c r="B24" s="194">
        <f>(WACC*(1-59049/(100000*(1+WACC)^5)))/(1-1/(1+WACC)^5)</f>
        <v>0.21126458637471351</v>
      </c>
    </row>
    <row r="25" spans="1:2" ht="15">
      <c r="A25" s="193">
        <v>21</v>
      </c>
      <c r="B25" s="194">
        <f>(WACC*(1-2476099/(4084101*(1+WACC)^5)))/(1-1/(1+WACC)^5)</f>
        <v>0.20892581826078774</v>
      </c>
    </row>
    <row r="26" spans="1:2" ht="15">
      <c r="A26" s="193">
        <v>22</v>
      </c>
      <c r="B26" s="194">
        <f>(WACC*(1-100000/(161051*(1+WACC)^5)))/(1-1/(1+WACC)^5)</f>
        <v>0.20675650689870823</v>
      </c>
    </row>
    <row r="27" spans="1:2" ht="15">
      <c r="A27" s="193">
        <v>23</v>
      </c>
      <c r="B27" s="194">
        <f>(WACC*(1-4084101/(6436343*(1+WACC)^5)))/(1-1/(1+WACC)^5)</f>
        <v>0.2047394138450444</v>
      </c>
    </row>
    <row r="28" spans="1:2" ht="15">
      <c r="A28" s="193">
        <v>24</v>
      </c>
      <c r="B28" s="194">
        <f>(WACC*(1-161051/(248832*(1+WACC)^5)))/(1-1/(1+WACC)^5)</f>
        <v>0.20285947267408849</v>
      </c>
    </row>
    <row r="29" spans="1:2" ht="15">
      <c r="A29" s="193">
        <v>25</v>
      </c>
      <c r="B29" s="194">
        <f>(WACC*(1-6436343/(9765625*(1+WACC)^5)))/(1-1/(1+WACC)^5)</f>
        <v>0.2011034758188307</v>
      </c>
    </row>
    <row r="30" spans="1:2" ht="15">
      <c r="A30" s="193">
        <v>26</v>
      </c>
      <c r="B30" s="194">
        <f>(WACC*(1-248832/(371293*(1+WACC)^5)))/(1-1/(1+WACC)^5)</f>
        <v>0.19945980949766792</v>
      </c>
    </row>
    <row r="31" spans="1:2" ht="15">
      <c r="A31" s="193">
        <v>27</v>
      </c>
      <c r="B31" s="194">
        <f>(WACC*(1-9765625/(14348907*(1+WACC)^5)))/(1-1/(1+WACC)^5)</f>
        <v>0.19791822967224423</v>
      </c>
    </row>
    <row r="32" spans="1:2" ht="15">
      <c r="A32" s="193">
        <v>28</v>
      </c>
      <c r="B32" s="194">
        <f>(WACC*(1-371293/(537824*(1+WACC)^5)))/(1-1/(1+WACC)^5)</f>
        <v>0.19646967266503906</v>
      </c>
    </row>
    <row r="33" spans="1:2" ht="15">
      <c r="A33" s="193">
        <v>29</v>
      </c>
      <c r="B33" s="194">
        <f>(WACC*(1-14348907/(20511149*(1+WACC)^5)))/(1-1/(1+WACC)^5)</f>
        <v>0.19510609489185227</v>
      </c>
    </row>
    <row r="34" spans="1:2" ht="15">
      <c r="A34" s="193">
        <v>30</v>
      </c>
      <c r="B34" s="194">
        <f>(WACC*(1-537824/(759375*(1+WACC)^5)))/(1-1/(1+WACC)^5)</f>
        <v>0.19382033698498577</v>
      </c>
    </row>
    <row r="35" spans="1:2" ht="15">
      <c r="A35" s="193">
        <v>31</v>
      </c>
      <c r="B35" s="194">
        <f>(WACC*(1-20511149/(28629151*(1+WACC)^5)))/(1-1/(1+WACC)^5)</f>
        <v>0.19260600833210145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 enableFormatConditionsCalculation="0">
    <tabColor indexed="33"/>
  </sheetPr>
  <dimension ref="A1:R50"/>
  <sheetViews>
    <sheetView showGridLines="0" zoomScale="85" workbookViewId="0"/>
  </sheetViews>
  <sheetFormatPr baseColWidth="10" defaultColWidth="11.42578125" defaultRowHeight="11.25"/>
  <cols>
    <col min="1" max="1" width="8.85546875" style="31" customWidth="1"/>
    <col min="2" max="2" width="9.140625" style="31" customWidth="1"/>
    <col min="3" max="3" width="11.42578125" style="31" customWidth="1"/>
    <col min="4" max="4" width="39.28515625" style="31" customWidth="1"/>
    <col min="5" max="5" width="21.140625" style="31" bestFit="1" customWidth="1"/>
    <col min="6" max="6" width="24.85546875" style="31" bestFit="1" customWidth="1"/>
    <col min="7" max="16" width="13.140625" style="31" bestFit="1" customWidth="1"/>
    <col min="17" max="17" width="13.140625" style="26" bestFit="1" customWidth="1"/>
    <col min="18" max="18" width="16.28515625" style="26" customWidth="1"/>
    <col min="19" max="19" width="17" style="26" bestFit="1" customWidth="1"/>
    <col min="20" max="22" width="11.42578125" style="26"/>
    <col min="23" max="23" width="14.85546875" style="26" customWidth="1"/>
    <col min="24" max="26" width="11.42578125" style="26"/>
    <col min="27" max="27" width="13.7109375" style="26" bestFit="1" customWidth="1"/>
    <col min="28" max="16384" width="11.42578125" style="26"/>
  </cols>
  <sheetData>
    <row r="1" spans="1:18" ht="12" customHeight="1"/>
    <row r="2" spans="1:18" ht="12" customHeight="1"/>
    <row r="3" spans="1:18" ht="12" customHeight="1"/>
    <row r="4" spans="1:18" ht="12" customHeight="1"/>
    <row r="5" spans="1:18" ht="12" customHeight="1"/>
    <row r="6" spans="1:18" ht="12" customHeight="1"/>
    <row r="7" spans="1:18" ht="12" customHeight="1"/>
    <row r="8" spans="1:18" ht="12" customHeight="1"/>
    <row r="9" spans="1:18" ht="12" customHeight="1"/>
    <row r="10" spans="1:18" ht="12" customHeight="1"/>
    <row r="11" spans="1:18" ht="12" customHeight="1"/>
    <row r="12" spans="1:18" ht="12" customHeight="1">
      <c r="A12" s="32"/>
      <c r="B12" s="32"/>
      <c r="C12" s="32"/>
    </row>
    <row r="13" spans="1:18" s="27" customFormat="1" ht="20.25">
      <c r="A13" s="29"/>
      <c r="B13" s="12"/>
      <c r="C13" s="12" t="s">
        <v>18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27" customFormat="1" ht="12.7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s="27" customFormat="1" ht="20.25">
      <c r="A15" s="29"/>
      <c r="B15" s="29"/>
      <c r="C15" s="12" t="s">
        <v>18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27" customFormat="1" ht="12.75">
      <c r="A16" s="29"/>
      <c r="B16" s="29"/>
      <c r="C16" s="29"/>
      <c r="D16" s="30" t="s">
        <v>19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8" s="28" customFormat="1" ht="12.75">
      <c r="A17" s="33"/>
      <c r="B17" s="33"/>
      <c r="C17" s="33"/>
      <c r="D17" s="34" t="s">
        <v>20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8" s="27" customFormat="1" ht="12.75">
      <c r="A18" s="29"/>
      <c r="B18" s="29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8" s="27" customFormat="1" ht="20.25">
      <c r="A19" s="29"/>
      <c r="B19" s="29"/>
      <c r="C19" s="29"/>
      <c r="D19" s="12" t="s">
        <v>31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 s="27" customFormat="1" ht="20.25">
      <c r="A20" s="29"/>
      <c r="B20" s="29"/>
      <c r="C20" s="29"/>
      <c r="D20" s="30" t="s">
        <v>19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12"/>
    </row>
    <row r="21" spans="1:18" s="27" customFormat="1" ht="12.75">
      <c r="A21" s="29"/>
      <c r="B21" s="29"/>
      <c r="C21" s="29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8" s="27" customFormat="1" ht="12.75">
      <c r="A22" s="29"/>
      <c r="B22" s="29"/>
      <c r="C22" s="29"/>
    </row>
    <row r="23" spans="1:18" s="27" customFormat="1" ht="12.75">
      <c r="A23" s="29"/>
      <c r="B23" s="29"/>
      <c r="C23" s="29"/>
      <c r="D23" s="38" t="s">
        <v>29</v>
      </c>
      <c r="E23" s="55">
        <v>39814</v>
      </c>
      <c r="F23" s="56">
        <v>39845</v>
      </c>
      <c r="G23" s="56">
        <v>39873</v>
      </c>
      <c r="H23" s="56">
        <v>39904</v>
      </c>
      <c r="I23" s="56">
        <v>39934</v>
      </c>
      <c r="J23" s="56">
        <v>39965</v>
      </c>
      <c r="K23" s="56">
        <v>39995</v>
      </c>
      <c r="L23" s="56">
        <v>40026</v>
      </c>
      <c r="M23" s="56">
        <v>40057</v>
      </c>
      <c r="N23" s="56">
        <v>40087</v>
      </c>
      <c r="O23" s="56">
        <v>40118</v>
      </c>
      <c r="P23" s="58">
        <v>40148</v>
      </c>
      <c r="Q23" s="39" t="s">
        <v>22</v>
      </c>
      <c r="R23" s="57" t="s">
        <v>51</v>
      </c>
    </row>
    <row r="24" spans="1:18" s="27" customFormat="1" ht="15" customHeight="1">
      <c r="A24" s="29"/>
      <c r="B24" s="29"/>
      <c r="C24" s="29"/>
      <c r="D24" s="60" t="s">
        <v>23</v>
      </c>
      <c r="E24" s="270">
        <v>1</v>
      </c>
      <c r="F24" s="271">
        <v>1</v>
      </c>
      <c r="G24" s="271">
        <v>1</v>
      </c>
      <c r="H24" s="271">
        <v>1</v>
      </c>
      <c r="I24" s="271">
        <v>1</v>
      </c>
      <c r="J24" s="271">
        <v>1</v>
      </c>
      <c r="K24" s="271">
        <v>1</v>
      </c>
      <c r="L24" s="271">
        <v>1</v>
      </c>
      <c r="M24" s="271">
        <v>1</v>
      </c>
      <c r="N24" s="271">
        <v>1</v>
      </c>
      <c r="O24" s="271">
        <v>1</v>
      </c>
      <c r="P24" s="272">
        <v>1</v>
      </c>
      <c r="Q24" s="273">
        <f>SUM(E24:P24)</f>
        <v>12</v>
      </c>
      <c r="R24" s="274">
        <f>+Q24*1000/'Tipos de cambio'!$W$18</f>
        <v>3984.7252199900386</v>
      </c>
    </row>
    <row r="25" spans="1:18" s="27" customFormat="1" ht="15" customHeight="1">
      <c r="A25" s="29"/>
      <c r="B25" s="29"/>
      <c r="C25" s="29"/>
      <c r="D25" s="50" t="s">
        <v>24</v>
      </c>
      <c r="E25" s="286">
        <f t="shared" ref="E25:P25" si="0">+E26+E27+E28+E29</f>
        <v>4</v>
      </c>
      <c r="F25" s="286">
        <f t="shared" si="0"/>
        <v>4</v>
      </c>
      <c r="G25" s="286">
        <f t="shared" si="0"/>
        <v>4</v>
      </c>
      <c r="H25" s="286">
        <f t="shared" si="0"/>
        <v>4</v>
      </c>
      <c r="I25" s="286">
        <f t="shared" si="0"/>
        <v>4</v>
      </c>
      <c r="J25" s="286">
        <f t="shared" si="0"/>
        <v>4</v>
      </c>
      <c r="K25" s="286">
        <f t="shared" si="0"/>
        <v>4</v>
      </c>
      <c r="L25" s="286">
        <f t="shared" si="0"/>
        <v>4</v>
      </c>
      <c r="M25" s="286">
        <f t="shared" si="0"/>
        <v>4</v>
      </c>
      <c r="N25" s="286">
        <f t="shared" si="0"/>
        <v>4</v>
      </c>
      <c r="O25" s="286">
        <f t="shared" si="0"/>
        <v>4</v>
      </c>
      <c r="P25" s="286">
        <f t="shared" si="0"/>
        <v>4</v>
      </c>
      <c r="Q25" s="287">
        <f>SUM(E25:P25)</f>
        <v>48</v>
      </c>
      <c r="R25" s="277">
        <f>+Q25*1000/'Tipos de cambio'!$W$18</f>
        <v>15938.900879960154</v>
      </c>
    </row>
    <row r="26" spans="1:18" s="27" customFormat="1" ht="15" customHeight="1">
      <c r="A26" s="29"/>
      <c r="B26" s="29"/>
      <c r="C26" s="29"/>
      <c r="D26" s="47" t="s">
        <v>25</v>
      </c>
      <c r="E26" s="275">
        <f>+$Q26/12</f>
        <v>1</v>
      </c>
      <c r="F26" s="275">
        <f t="shared" ref="F26:P27" si="1">+$Q26/12</f>
        <v>1</v>
      </c>
      <c r="G26" s="275">
        <f t="shared" si="1"/>
        <v>1</v>
      </c>
      <c r="H26" s="275">
        <f t="shared" si="1"/>
        <v>1</v>
      </c>
      <c r="I26" s="275">
        <f t="shared" si="1"/>
        <v>1</v>
      </c>
      <c r="J26" s="275">
        <f t="shared" si="1"/>
        <v>1</v>
      </c>
      <c r="K26" s="275">
        <f t="shared" si="1"/>
        <v>1</v>
      </c>
      <c r="L26" s="275">
        <f t="shared" si="1"/>
        <v>1</v>
      </c>
      <c r="M26" s="275">
        <f t="shared" si="1"/>
        <v>1</v>
      </c>
      <c r="N26" s="275">
        <f t="shared" si="1"/>
        <v>1</v>
      </c>
      <c r="O26" s="275">
        <f t="shared" si="1"/>
        <v>1</v>
      </c>
      <c r="P26" s="275">
        <f t="shared" si="1"/>
        <v>1</v>
      </c>
      <c r="Q26" s="276">
        <v>12</v>
      </c>
      <c r="R26" s="277">
        <f>+Q26*1000/'Tipos de cambio'!$W$18</f>
        <v>3984.7252199900386</v>
      </c>
    </row>
    <row r="27" spans="1:18" s="27" customFormat="1" ht="68.25" customHeight="1">
      <c r="A27" s="29"/>
      <c r="B27" s="29"/>
      <c r="C27" s="29"/>
      <c r="D27" s="49" t="s">
        <v>26</v>
      </c>
      <c r="E27" s="275">
        <f>+$Q27/12</f>
        <v>1</v>
      </c>
      <c r="F27" s="275">
        <f t="shared" si="1"/>
        <v>1</v>
      </c>
      <c r="G27" s="275">
        <f t="shared" si="1"/>
        <v>1</v>
      </c>
      <c r="H27" s="275">
        <f t="shared" si="1"/>
        <v>1</v>
      </c>
      <c r="I27" s="275">
        <f t="shared" si="1"/>
        <v>1</v>
      </c>
      <c r="J27" s="275">
        <f t="shared" si="1"/>
        <v>1</v>
      </c>
      <c r="K27" s="275">
        <f t="shared" si="1"/>
        <v>1</v>
      </c>
      <c r="L27" s="275">
        <f t="shared" si="1"/>
        <v>1</v>
      </c>
      <c r="M27" s="275">
        <f t="shared" si="1"/>
        <v>1</v>
      </c>
      <c r="N27" s="275">
        <f t="shared" si="1"/>
        <v>1</v>
      </c>
      <c r="O27" s="275">
        <f t="shared" si="1"/>
        <v>1</v>
      </c>
      <c r="P27" s="275">
        <f t="shared" si="1"/>
        <v>1</v>
      </c>
      <c r="Q27" s="276">
        <v>12</v>
      </c>
      <c r="R27" s="277">
        <f>+Q27*1000/'Tipos de cambio'!$W$18</f>
        <v>3984.7252199900386</v>
      </c>
    </row>
    <row r="28" spans="1:18" s="27" customFormat="1" ht="15" customHeight="1">
      <c r="A28" s="29"/>
      <c r="B28" s="29"/>
      <c r="C28" s="29"/>
      <c r="D28" s="47" t="s">
        <v>27</v>
      </c>
      <c r="E28" s="278">
        <v>1</v>
      </c>
      <c r="F28" s="279">
        <v>1</v>
      </c>
      <c r="G28" s="279">
        <v>1</v>
      </c>
      <c r="H28" s="279">
        <v>1</v>
      </c>
      <c r="I28" s="279">
        <v>1</v>
      </c>
      <c r="J28" s="279">
        <v>1</v>
      </c>
      <c r="K28" s="279">
        <v>1</v>
      </c>
      <c r="L28" s="279">
        <v>1</v>
      </c>
      <c r="M28" s="279">
        <v>1</v>
      </c>
      <c r="N28" s="279">
        <v>1</v>
      </c>
      <c r="O28" s="279">
        <v>1</v>
      </c>
      <c r="P28" s="280">
        <v>1</v>
      </c>
      <c r="Q28" s="281">
        <f>SUM(E28:P28)</f>
        <v>12</v>
      </c>
      <c r="R28" s="277">
        <f>+Q28*1000/'Tipos de cambio'!$W$18</f>
        <v>3984.7252199900386</v>
      </c>
    </row>
    <row r="29" spans="1:18" s="27" customFormat="1" ht="15" customHeight="1">
      <c r="A29" s="29"/>
      <c r="B29" s="29"/>
      <c r="C29" s="29"/>
      <c r="D29" s="48" t="s">
        <v>28</v>
      </c>
      <c r="E29" s="282">
        <v>1</v>
      </c>
      <c r="F29" s="283">
        <v>1</v>
      </c>
      <c r="G29" s="283">
        <v>1</v>
      </c>
      <c r="H29" s="283">
        <v>1</v>
      </c>
      <c r="I29" s="283">
        <v>1</v>
      </c>
      <c r="J29" s="283">
        <v>1</v>
      </c>
      <c r="K29" s="283">
        <v>1</v>
      </c>
      <c r="L29" s="283">
        <v>1</v>
      </c>
      <c r="M29" s="283">
        <v>1</v>
      </c>
      <c r="N29" s="283">
        <v>1</v>
      </c>
      <c r="O29" s="283">
        <v>1</v>
      </c>
      <c r="P29" s="284">
        <v>1</v>
      </c>
      <c r="Q29" s="285">
        <f>SUM(E29:P29)</f>
        <v>12</v>
      </c>
      <c r="R29" s="277">
        <f>+Q29*1000/'Tipos de cambio'!$W$18</f>
        <v>3984.7252199900386</v>
      </c>
    </row>
    <row r="30" spans="1:18" s="27" customFormat="1" ht="15" customHeight="1">
      <c r="A30" s="29"/>
      <c r="B30" s="29"/>
      <c r="C30" s="29"/>
      <c r="D30" s="35" t="s">
        <v>11</v>
      </c>
      <c r="E30" s="288">
        <f t="shared" ref="E30:P30" si="2">+E24+E25</f>
        <v>5</v>
      </c>
      <c r="F30" s="288">
        <f t="shared" si="2"/>
        <v>5</v>
      </c>
      <c r="G30" s="288">
        <f t="shared" si="2"/>
        <v>5</v>
      </c>
      <c r="H30" s="288">
        <f t="shared" si="2"/>
        <v>5</v>
      </c>
      <c r="I30" s="288">
        <f t="shared" si="2"/>
        <v>5</v>
      </c>
      <c r="J30" s="288">
        <f t="shared" si="2"/>
        <v>5</v>
      </c>
      <c r="K30" s="288">
        <f t="shared" si="2"/>
        <v>5</v>
      </c>
      <c r="L30" s="288">
        <f t="shared" si="2"/>
        <v>5</v>
      </c>
      <c r="M30" s="288">
        <f t="shared" si="2"/>
        <v>5</v>
      </c>
      <c r="N30" s="288">
        <f t="shared" si="2"/>
        <v>5</v>
      </c>
      <c r="O30" s="288">
        <f t="shared" si="2"/>
        <v>5</v>
      </c>
      <c r="P30" s="288">
        <f t="shared" si="2"/>
        <v>5</v>
      </c>
      <c r="Q30" s="289">
        <f>SUM(E30:P30)</f>
        <v>60</v>
      </c>
      <c r="R30" s="290">
        <f>+Q30*1000/'Tipos de cambio'!$W$18</f>
        <v>19923.626099950194</v>
      </c>
    </row>
    <row r="31" spans="1:18" s="27" customFormat="1" ht="12.75">
      <c r="A31" s="29"/>
      <c r="B31" s="29"/>
      <c r="C31" s="29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8" s="27" customFormat="1" ht="12.75">
      <c r="A32" s="29"/>
      <c r="B32" s="29"/>
      <c r="C32" s="29"/>
      <c r="D32" s="38" t="s">
        <v>30</v>
      </c>
      <c r="E32" s="55">
        <v>39814</v>
      </c>
      <c r="F32" s="56">
        <v>39845</v>
      </c>
      <c r="G32" s="56">
        <v>39873</v>
      </c>
      <c r="H32" s="56">
        <v>39904</v>
      </c>
      <c r="I32" s="56">
        <v>39934</v>
      </c>
      <c r="J32" s="56">
        <v>39965</v>
      </c>
      <c r="K32" s="56">
        <v>39995</v>
      </c>
      <c r="L32" s="56">
        <v>40026</v>
      </c>
      <c r="M32" s="56">
        <v>40057</v>
      </c>
      <c r="N32" s="56">
        <v>40087</v>
      </c>
      <c r="O32" s="56">
        <v>40118</v>
      </c>
      <c r="P32" s="58">
        <v>40148</v>
      </c>
      <c r="Q32" s="39" t="s">
        <v>22</v>
      </c>
      <c r="R32" s="39" t="s">
        <v>51</v>
      </c>
    </row>
    <row r="33" spans="1:18" s="27" customFormat="1" ht="12.75">
      <c r="A33" s="29"/>
      <c r="B33" s="29"/>
      <c r="C33" s="29"/>
      <c r="D33" s="61" t="s">
        <v>23</v>
      </c>
      <c r="E33" s="270">
        <v>1</v>
      </c>
      <c r="F33" s="271">
        <v>1</v>
      </c>
      <c r="G33" s="271">
        <v>1</v>
      </c>
      <c r="H33" s="271">
        <v>1</v>
      </c>
      <c r="I33" s="271">
        <v>1</v>
      </c>
      <c r="J33" s="271">
        <v>1</v>
      </c>
      <c r="K33" s="271">
        <v>1</v>
      </c>
      <c r="L33" s="271">
        <v>1</v>
      </c>
      <c r="M33" s="271">
        <v>1</v>
      </c>
      <c r="N33" s="271">
        <v>1</v>
      </c>
      <c r="O33" s="271">
        <v>1</v>
      </c>
      <c r="P33" s="272">
        <v>1</v>
      </c>
      <c r="Q33" s="273">
        <f>SUM(E33:P33)</f>
        <v>12</v>
      </c>
      <c r="R33" s="273">
        <f>+Q33*1000/'Tipos de cambio'!$W$18</f>
        <v>3984.7252199900386</v>
      </c>
    </row>
    <row r="34" spans="1:18" s="27" customFormat="1" ht="12.75">
      <c r="A34" s="29"/>
      <c r="B34" s="29"/>
      <c r="C34" s="29"/>
      <c r="D34" s="62" t="s">
        <v>24</v>
      </c>
      <c r="E34" s="286">
        <f t="shared" ref="E34:P34" si="3">+E35+E36+E37+E38</f>
        <v>4</v>
      </c>
      <c r="F34" s="286">
        <f t="shared" si="3"/>
        <v>4</v>
      </c>
      <c r="G34" s="286">
        <f t="shared" si="3"/>
        <v>4</v>
      </c>
      <c r="H34" s="286">
        <f t="shared" si="3"/>
        <v>4</v>
      </c>
      <c r="I34" s="286">
        <f t="shared" si="3"/>
        <v>4</v>
      </c>
      <c r="J34" s="286">
        <f t="shared" si="3"/>
        <v>4</v>
      </c>
      <c r="K34" s="286">
        <f t="shared" si="3"/>
        <v>4</v>
      </c>
      <c r="L34" s="286">
        <f t="shared" si="3"/>
        <v>4</v>
      </c>
      <c r="M34" s="286">
        <f t="shared" si="3"/>
        <v>4</v>
      </c>
      <c r="N34" s="286">
        <f t="shared" si="3"/>
        <v>4</v>
      </c>
      <c r="O34" s="286">
        <f t="shared" si="3"/>
        <v>4</v>
      </c>
      <c r="P34" s="286">
        <f t="shared" si="3"/>
        <v>4</v>
      </c>
      <c r="Q34" s="291">
        <f>SUM(E34:P34)</f>
        <v>48</v>
      </c>
      <c r="R34" s="277">
        <f>+Q34*1000/'Tipos de cambio'!$W$18</f>
        <v>15938.900879960154</v>
      </c>
    </row>
    <row r="35" spans="1:18" s="27" customFormat="1" ht="12.75">
      <c r="A35" s="29"/>
      <c r="B35" s="29"/>
      <c r="C35" s="29"/>
      <c r="D35" s="47" t="s">
        <v>25</v>
      </c>
      <c r="E35" s="275">
        <v>1</v>
      </c>
      <c r="F35" s="275">
        <v>1</v>
      </c>
      <c r="G35" s="275">
        <v>1</v>
      </c>
      <c r="H35" s="275">
        <v>1</v>
      </c>
      <c r="I35" s="275">
        <v>1</v>
      </c>
      <c r="J35" s="275">
        <v>1</v>
      </c>
      <c r="K35" s="275">
        <v>1</v>
      </c>
      <c r="L35" s="275">
        <v>1</v>
      </c>
      <c r="M35" s="275">
        <v>1</v>
      </c>
      <c r="N35" s="275">
        <v>1</v>
      </c>
      <c r="O35" s="275">
        <v>1</v>
      </c>
      <c r="P35" s="275">
        <v>1</v>
      </c>
      <c r="Q35" s="281">
        <f>SUM(E35:P35)</f>
        <v>12</v>
      </c>
      <c r="R35" s="277">
        <f>+Q35*1000/'Tipos de cambio'!$W$18</f>
        <v>3984.7252199900386</v>
      </c>
    </row>
    <row r="36" spans="1:18" s="27" customFormat="1" ht="12.75">
      <c r="A36" s="29"/>
      <c r="B36" s="29"/>
      <c r="C36" s="29"/>
      <c r="D36" s="47" t="s">
        <v>26</v>
      </c>
      <c r="E36" s="275">
        <f>+$Q36/12</f>
        <v>1</v>
      </c>
      <c r="F36" s="275">
        <f t="shared" ref="F35:P36" si="4">+$Q36/12</f>
        <v>1</v>
      </c>
      <c r="G36" s="275">
        <f t="shared" si="4"/>
        <v>1</v>
      </c>
      <c r="H36" s="275">
        <f t="shared" si="4"/>
        <v>1</v>
      </c>
      <c r="I36" s="275">
        <f t="shared" si="4"/>
        <v>1</v>
      </c>
      <c r="J36" s="275">
        <f t="shared" si="4"/>
        <v>1</v>
      </c>
      <c r="K36" s="275">
        <f t="shared" si="4"/>
        <v>1</v>
      </c>
      <c r="L36" s="275">
        <f t="shared" si="4"/>
        <v>1</v>
      </c>
      <c r="M36" s="275">
        <f t="shared" si="4"/>
        <v>1</v>
      </c>
      <c r="N36" s="275">
        <f t="shared" si="4"/>
        <v>1</v>
      </c>
      <c r="O36" s="275">
        <f t="shared" si="4"/>
        <v>1</v>
      </c>
      <c r="P36" s="275">
        <f t="shared" si="4"/>
        <v>1</v>
      </c>
      <c r="Q36" s="281">
        <v>12</v>
      </c>
      <c r="R36" s="277">
        <f>+Q36*1000/'Tipos de cambio'!$W$18</f>
        <v>3984.7252199900386</v>
      </c>
    </row>
    <row r="37" spans="1:18" s="27" customFormat="1" ht="12.75">
      <c r="A37" s="29"/>
      <c r="B37" s="29"/>
      <c r="C37" s="29"/>
      <c r="D37" s="47" t="s">
        <v>27</v>
      </c>
      <c r="E37" s="278">
        <v>1</v>
      </c>
      <c r="F37" s="279">
        <v>1</v>
      </c>
      <c r="G37" s="279">
        <v>1</v>
      </c>
      <c r="H37" s="279">
        <v>1</v>
      </c>
      <c r="I37" s="279">
        <v>1</v>
      </c>
      <c r="J37" s="279">
        <v>1</v>
      </c>
      <c r="K37" s="279">
        <v>1</v>
      </c>
      <c r="L37" s="279">
        <v>1</v>
      </c>
      <c r="M37" s="279">
        <v>1</v>
      </c>
      <c r="N37" s="279">
        <v>1</v>
      </c>
      <c r="O37" s="279">
        <v>1</v>
      </c>
      <c r="P37" s="280">
        <v>1</v>
      </c>
      <c r="Q37" s="281">
        <f>SUM(E37:P37)</f>
        <v>12</v>
      </c>
      <c r="R37" s="277">
        <f>+Q37*1000/'Tipos de cambio'!$W$18</f>
        <v>3984.7252199900386</v>
      </c>
    </row>
    <row r="38" spans="1:18" s="27" customFormat="1" ht="12.75">
      <c r="A38" s="29"/>
      <c r="B38" s="29"/>
      <c r="C38" s="29"/>
      <c r="D38" s="48" t="s">
        <v>28</v>
      </c>
      <c r="E38" s="282">
        <v>1</v>
      </c>
      <c r="F38" s="283">
        <v>1</v>
      </c>
      <c r="G38" s="283">
        <v>1</v>
      </c>
      <c r="H38" s="283">
        <v>1</v>
      </c>
      <c r="I38" s="283">
        <v>1</v>
      </c>
      <c r="J38" s="283">
        <v>1</v>
      </c>
      <c r="K38" s="283">
        <v>1</v>
      </c>
      <c r="L38" s="283">
        <v>1</v>
      </c>
      <c r="M38" s="283">
        <v>1</v>
      </c>
      <c r="N38" s="283">
        <v>1</v>
      </c>
      <c r="O38" s="283">
        <v>1</v>
      </c>
      <c r="P38" s="284">
        <v>1</v>
      </c>
      <c r="Q38" s="285">
        <f>SUM(E38:P38)</f>
        <v>12</v>
      </c>
      <c r="R38" s="277">
        <f>+Q38*1000/'Tipos de cambio'!$W$18</f>
        <v>3984.7252199900386</v>
      </c>
    </row>
    <row r="39" spans="1:18" s="27" customFormat="1" ht="15.75">
      <c r="A39" s="29"/>
      <c r="B39" s="29"/>
      <c r="C39" s="29"/>
      <c r="D39" s="35" t="s">
        <v>11</v>
      </c>
      <c r="E39" s="288">
        <f>+E33+E34</f>
        <v>5</v>
      </c>
      <c r="F39" s="288">
        <f t="shared" ref="F39:P39" si="5">+F33+F34</f>
        <v>5</v>
      </c>
      <c r="G39" s="288">
        <f t="shared" si="5"/>
        <v>5</v>
      </c>
      <c r="H39" s="288">
        <f t="shared" si="5"/>
        <v>5</v>
      </c>
      <c r="I39" s="288">
        <f t="shared" si="5"/>
        <v>5</v>
      </c>
      <c r="J39" s="288">
        <f t="shared" si="5"/>
        <v>5</v>
      </c>
      <c r="K39" s="288">
        <f t="shared" si="5"/>
        <v>5</v>
      </c>
      <c r="L39" s="288">
        <f t="shared" si="5"/>
        <v>5</v>
      </c>
      <c r="M39" s="288">
        <f t="shared" si="5"/>
        <v>5</v>
      </c>
      <c r="N39" s="288">
        <f t="shared" si="5"/>
        <v>5</v>
      </c>
      <c r="O39" s="288">
        <f t="shared" si="5"/>
        <v>5</v>
      </c>
      <c r="P39" s="288">
        <f t="shared" si="5"/>
        <v>5</v>
      </c>
      <c r="Q39" s="289">
        <f>SUM(E39:P39)</f>
        <v>60</v>
      </c>
      <c r="R39" s="290">
        <f>+Q39*1000/'Tipos de cambio'!$W$18</f>
        <v>19923.626099950194</v>
      </c>
    </row>
    <row r="40" spans="1:18" s="27" customFormat="1" ht="12.75">
      <c r="A40" s="29"/>
      <c r="B40" s="29"/>
      <c r="C40" s="30"/>
      <c r="D40" s="30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</row>
    <row r="42" spans="1:18" s="27" customFormat="1" ht="20.25">
      <c r="A42" s="29"/>
      <c r="B42" s="12"/>
      <c r="C42" s="12" t="s">
        <v>39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8" s="37" customFormat="1" ht="12.75">
      <c r="C43" s="43"/>
    </row>
    <row r="44" spans="1:18" s="37" customFormat="1" ht="12.75">
      <c r="B44" s="45"/>
      <c r="C44" s="45"/>
      <c r="D44" s="45"/>
      <c r="E44" s="45"/>
      <c r="F44" s="45"/>
    </row>
    <row r="46" spans="1:18" s="27" customFormat="1" ht="20.25">
      <c r="A46" s="29"/>
      <c r="B46" s="12"/>
      <c r="C46" s="12" t="s">
        <v>38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36" customFormat="1" ht="18"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 spans="1:18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3:16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3:16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8" enableFormatConditionsCalculation="0">
    <tabColor indexed="33"/>
  </sheetPr>
  <dimension ref="A1:P38"/>
  <sheetViews>
    <sheetView showGridLines="0" zoomScale="85" workbookViewId="0"/>
  </sheetViews>
  <sheetFormatPr baseColWidth="10" defaultColWidth="11.42578125" defaultRowHeight="12.75"/>
  <cols>
    <col min="1" max="2" width="9.140625" style="37" customWidth="1"/>
    <col min="3" max="3" width="38" style="37" customWidth="1"/>
    <col min="4" max="4" width="13.42578125" style="37" bestFit="1" customWidth="1"/>
    <col min="5" max="6" width="11.42578125" style="37"/>
    <col min="7" max="7" width="12" style="37" customWidth="1"/>
    <col min="8" max="15" width="11.42578125" style="37"/>
    <col min="16" max="16" width="13.140625" style="37" customWidth="1"/>
    <col min="17" max="17" width="13.7109375" style="37" bestFit="1" customWidth="1"/>
    <col min="18" max="16384" width="11.42578125" style="37"/>
  </cols>
  <sheetData>
    <row r="1" spans="1:16" ht="12" customHeight="1"/>
    <row r="2" spans="1:16" ht="12" customHeight="1"/>
    <row r="3" spans="1:16" ht="12" customHeight="1"/>
    <row r="4" spans="1:16" ht="12" customHeight="1"/>
    <row r="5" spans="1:16" ht="12" customHeight="1"/>
    <row r="6" spans="1:16" ht="12" customHeight="1"/>
    <row r="7" spans="1:16" ht="12" customHeight="1"/>
    <row r="8" spans="1:16" ht="12" customHeight="1"/>
    <row r="9" spans="1:16" ht="12" customHeight="1"/>
    <row r="10" spans="1:16" ht="12" customHeight="1">
      <c r="A10" s="42"/>
      <c r="B10" s="42"/>
    </row>
    <row r="11" spans="1:16" ht="12" customHeight="1">
      <c r="A11" s="42"/>
      <c r="B11" s="42"/>
    </row>
    <row r="12" spans="1:16" ht="12" customHeight="1">
      <c r="A12" s="42"/>
    </row>
    <row r="13" spans="1:16" ht="12" customHeight="1">
      <c r="A13" s="42"/>
    </row>
    <row r="14" spans="1:16" s="27" customFormat="1" ht="20.25">
      <c r="A14" s="29"/>
      <c r="B14" s="12"/>
      <c r="C14" s="12" t="s">
        <v>32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>
      <c r="C15" s="43" t="s">
        <v>20</v>
      </c>
    </row>
    <row r="17" spans="1:16" s="3" customFormat="1">
      <c r="C17" s="51" t="s">
        <v>21</v>
      </c>
      <c r="D17" s="53">
        <v>39814</v>
      </c>
      <c r="E17" s="54">
        <v>39845</v>
      </c>
      <c r="F17" s="54">
        <v>39873</v>
      </c>
      <c r="G17" s="54">
        <v>39904</v>
      </c>
      <c r="H17" s="54">
        <v>39934</v>
      </c>
      <c r="I17" s="54">
        <v>39965</v>
      </c>
      <c r="J17" s="54">
        <v>39995</v>
      </c>
      <c r="K17" s="54">
        <v>40026</v>
      </c>
      <c r="L17" s="54">
        <v>40057</v>
      </c>
      <c r="M17" s="54">
        <v>40087</v>
      </c>
      <c r="N17" s="54">
        <v>40118</v>
      </c>
      <c r="O17" s="59">
        <v>40148</v>
      </c>
      <c r="P17" s="52" t="s">
        <v>22</v>
      </c>
    </row>
    <row r="18" spans="1:16" s="40" customFormat="1" ht="15" customHeight="1">
      <c r="C18" s="77" t="s">
        <v>33</v>
      </c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</row>
    <row r="19" spans="1:16"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16">
      <c r="D20" s="44"/>
    </row>
    <row r="21" spans="1:16" s="27" customFormat="1" ht="20.25">
      <c r="A21" s="29"/>
      <c r="B21" s="29"/>
      <c r="C21" s="12" t="s">
        <v>34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6" ht="26.25" customHeight="1">
      <c r="C23" s="38" t="s">
        <v>29</v>
      </c>
      <c r="D23" s="55">
        <v>39814</v>
      </c>
      <c r="E23" s="56">
        <v>39845</v>
      </c>
      <c r="F23" s="56">
        <v>39873</v>
      </c>
      <c r="G23" s="56">
        <v>39904</v>
      </c>
      <c r="H23" s="56">
        <v>39934</v>
      </c>
      <c r="I23" s="56">
        <v>39965</v>
      </c>
      <c r="J23" s="56">
        <v>39995</v>
      </c>
      <c r="K23" s="56">
        <v>40026</v>
      </c>
      <c r="L23" s="56">
        <v>40057</v>
      </c>
      <c r="M23" s="56">
        <v>40087</v>
      </c>
      <c r="N23" s="56">
        <v>40118</v>
      </c>
      <c r="O23" s="58">
        <v>40148</v>
      </c>
      <c r="P23" s="39" t="s">
        <v>22</v>
      </c>
    </row>
    <row r="24" spans="1:16" s="40" customFormat="1" ht="15" customHeight="1">
      <c r="C24" s="149" t="s">
        <v>33</v>
      </c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199"/>
    </row>
    <row r="25" spans="1:16"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6" ht="26.25" customHeight="1">
      <c r="C26" s="38" t="s">
        <v>30</v>
      </c>
      <c r="D26" s="55">
        <v>39814</v>
      </c>
      <c r="E26" s="56">
        <v>39845</v>
      </c>
      <c r="F26" s="56">
        <v>39873</v>
      </c>
      <c r="G26" s="56">
        <v>39904</v>
      </c>
      <c r="H26" s="56">
        <v>39934</v>
      </c>
      <c r="I26" s="56">
        <v>39965</v>
      </c>
      <c r="J26" s="56">
        <v>39995</v>
      </c>
      <c r="K26" s="56">
        <v>40026</v>
      </c>
      <c r="L26" s="56">
        <v>40057</v>
      </c>
      <c r="M26" s="56">
        <v>40087</v>
      </c>
      <c r="N26" s="56">
        <v>40118</v>
      </c>
      <c r="O26" s="58">
        <v>40148</v>
      </c>
      <c r="P26" s="39" t="s">
        <v>22</v>
      </c>
    </row>
    <row r="27" spans="1:16" s="40" customFormat="1" ht="15" customHeight="1">
      <c r="C27" s="76" t="s">
        <v>33</v>
      </c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</row>
    <row r="28" spans="1:16"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6">
      <c r="B29" s="41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spans="1:16">
      <c r="B30" s="41"/>
    </row>
    <row r="31" spans="1:16" s="27" customFormat="1" ht="20.25">
      <c r="A31" s="29"/>
      <c r="B31" s="12"/>
      <c r="C31" s="12" t="s">
        <v>41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3" spans="3:16">
      <c r="C33" s="79" t="s">
        <v>40</v>
      </c>
      <c r="D33" s="80" t="s">
        <v>42</v>
      </c>
      <c r="H33" s="139"/>
      <c r="P33" s="63"/>
    </row>
    <row r="34" spans="3:16" ht="18">
      <c r="C34" s="78" t="s">
        <v>55</v>
      </c>
      <c r="D34" s="201">
        <v>0.12</v>
      </c>
    </row>
    <row r="37" spans="3:16">
      <c r="D37" s="139"/>
      <c r="E37" s="139"/>
      <c r="F37" s="139"/>
      <c r="G37" s="139"/>
    </row>
    <row r="38" spans="3:16">
      <c r="D38" s="139"/>
      <c r="E38" s="139"/>
      <c r="F38" s="139"/>
      <c r="G38" s="139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9" enableFormatConditionsCalculation="0">
    <tabColor indexed="33"/>
  </sheetPr>
  <dimension ref="B1:V49"/>
  <sheetViews>
    <sheetView showGridLines="0" zoomScaleNormal="100" workbookViewId="0"/>
  </sheetViews>
  <sheetFormatPr baseColWidth="10" defaultColWidth="9.140625" defaultRowHeight="12.75"/>
  <cols>
    <col min="2" max="2" width="15" customWidth="1"/>
    <col min="3" max="3" width="43.28515625" customWidth="1"/>
    <col min="4" max="4" width="14.5703125" bestFit="1" customWidth="1"/>
    <col min="5" max="5" width="18.140625" bestFit="1" customWidth="1"/>
    <col min="6" max="6" width="19.28515625" customWidth="1"/>
    <col min="7" max="7" width="12.85546875" bestFit="1" customWidth="1"/>
    <col min="8" max="8" width="12.42578125" bestFit="1" customWidth="1"/>
    <col min="9" max="9" width="12" bestFit="1" customWidth="1"/>
    <col min="10" max="13" width="12.85546875" bestFit="1" customWidth="1"/>
    <col min="14" max="14" width="13" bestFit="1" customWidth="1"/>
    <col min="15" max="15" width="12.85546875" bestFit="1" customWidth="1"/>
    <col min="16" max="16" width="24.42578125" customWidth="1"/>
    <col min="17" max="17" width="18.7109375" bestFit="1" customWidth="1"/>
    <col min="18" max="18" width="9.42578125" bestFit="1" customWidth="1"/>
    <col min="19" max="19" width="11.42578125" bestFit="1" customWidth="1"/>
    <col min="20" max="20" width="10.7109375" bestFit="1" customWidth="1"/>
    <col min="21" max="21" width="10.5703125" bestFit="1" customWidth="1"/>
    <col min="22" max="22" width="22.85546875" bestFit="1" customWidth="1"/>
    <col min="23" max="23" width="17.28515625" bestFit="1" customWidth="1"/>
  </cols>
  <sheetData>
    <row r="1" spans="2:22" ht="12" customHeight="1"/>
    <row r="2" spans="2:22" ht="12" customHeight="1"/>
    <row r="3" spans="2:22" ht="12" customHeight="1"/>
    <row r="4" spans="2:22" ht="12" customHeight="1"/>
    <row r="5" spans="2:22" ht="12" customHeight="1"/>
    <row r="6" spans="2:22" ht="12" customHeight="1"/>
    <row r="7" spans="2:22" ht="12" customHeight="1"/>
    <row r="8" spans="2:22" ht="12" customHeight="1"/>
    <row r="9" spans="2:22" ht="12" customHeight="1"/>
    <row r="10" spans="2:22" ht="12" customHeight="1"/>
    <row r="11" spans="2:22" ht="12" customHeight="1"/>
    <row r="12" spans="2:22" s="101" customFormat="1" ht="12" customHeight="1">
      <c r="C12" s="155" t="s">
        <v>102</v>
      </c>
      <c r="D12" s="202">
        <v>4.0344757862672838E-2</v>
      </c>
    </row>
    <row r="13" spans="2:22" s="101" customFormat="1" ht="12" customHeight="1">
      <c r="C13" s="155" t="s">
        <v>103</v>
      </c>
      <c r="D13" s="202">
        <v>0.39207094740839871</v>
      </c>
    </row>
    <row r="14" spans="2:22" s="101" customFormat="1" ht="12" customHeight="1"/>
    <row r="15" spans="2:22" ht="12" customHeight="1"/>
    <row r="16" spans="2:22" ht="20.25">
      <c r="B16" s="1"/>
      <c r="C16" s="1" t="s">
        <v>35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>
      <c r="B17" s="203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9" spans="2:22" ht="20.25">
      <c r="B19" s="1"/>
      <c r="C19" s="1" t="s">
        <v>36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>
      <c r="B20" s="203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2:22" s="101" customFormat="1"/>
    <row r="22" spans="2:22" ht="20.25">
      <c r="B22" s="1"/>
      <c r="C22" s="1" t="s">
        <v>37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>
      <c r="B23" s="203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6" spans="2:22">
      <c r="B26" s="8"/>
      <c r="C26" s="8"/>
      <c r="D26" s="8"/>
      <c r="E26" s="8"/>
      <c r="F26" s="8"/>
      <c r="G26" s="8"/>
      <c r="H26" s="8"/>
      <c r="I26" s="8"/>
      <c r="J26" s="8"/>
    </row>
    <row r="27" spans="2:22">
      <c r="B27" s="8"/>
      <c r="C27" s="8"/>
      <c r="D27" s="8"/>
      <c r="E27" s="8"/>
      <c r="F27" s="8"/>
      <c r="G27" s="8"/>
      <c r="H27" s="8"/>
      <c r="I27" s="8"/>
      <c r="J27" s="8"/>
    </row>
    <row r="28" spans="2:22" ht="20.25">
      <c r="B28" s="196"/>
      <c r="C28" s="196" t="s">
        <v>101</v>
      </c>
      <c r="D28" s="196"/>
      <c r="E28" s="196"/>
      <c r="F28" s="196"/>
      <c r="G28" s="196"/>
      <c r="H28" s="196"/>
      <c r="I28" s="196"/>
      <c r="J28" s="196"/>
    </row>
    <row r="29" spans="2:22">
      <c r="B29" s="8"/>
      <c r="C29" s="8"/>
      <c r="D29" s="8"/>
      <c r="E29" s="8"/>
      <c r="F29" s="8"/>
      <c r="G29" s="8"/>
      <c r="H29" s="8"/>
      <c r="I29" s="8"/>
      <c r="J29" s="8"/>
    </row>
    <row r="30" spans="2:22" s="101" customFormat="1">
      <c r="B30" s="8"/>
      <c r="C30" s="8"/>
      <c r="D30" s="162"/>
      <c r="E30" s="162"/>
      <c r="F30" s="8"/>
      <c r="G30" s="8"/>
      <c r="H30" s="8"/>
      <c r="I30" s="8"/>
      <c r="J30" s="8"/>
    </row>
    <row r="31" spans="2:22" s="101" customFormat="1" ht="15.75">
      <c r="B31" s="8"/>
      <c r="C31" s="204" t="s">
        <v>116</v>
      </c>
      <c r="D31" s="205"/>
      <c r="E31" s="205"/>
      <c r="F31" s="8"/>
      <c r="G31" s="8"/>
      <c r="H31" s="8"/>
      <c r="I31" s="8"/>
      <c r="J31" s="8"/>
    </row>
    <row r="32" spans="2:22" s="101" customFormat="1" ht="15">
      <c r="B32" s="8"/>
      <c r="C32" s="206" t="s">
        <v>117</v>
      </c>
      <c r="D32" s="207">
        <f>+D33+D34</f>
        <v>648194606.12481272</v>
      </c>
      <c r="E32" s="163"/>
      <c r="F32" s="8"/>
      <c r="G32" s="8"/>
      <c r="H32" s="8"/>
      <c r="I32" s="8"/>
      <c r="J32" s="8"/>
    </row>
    <row r="33" spans="2:10" s="101" customFormat="1" ht="15">
      <c r="B33" s="8"/>
      <c r="C33" s="206" t="s">
        <v>115</v>
      </c>
      <c r="D33" s="207">
        <f>+D38+D43</f>
        <v>122040261.13847114</v>
      </c>
      <c r="E33" s="163"/>
      <c r="F33" s="8"/>
      <c r="G33" s="8"/>
      <c r="H33" s="8"/>
      <c r="I33" s="8"/>
      <c r="J33" s="8"/>
    </row>
    <row r="34" spans="2:10" s="101" customFormat="1" ht="15">
      <c r="B34" s="8"/>
      <c r="C34" s="206" t="s">
        <v>100</v>
      </c>
      <c r="D34" s="207">
        <f>+D39+D44</f>
        <v>526154344.9863416</v>
      </c>
      <c r="E34" s="163"/>
      <c r="F34" s="8"/>
      <c r="G34" s="8"/>
      <c r="H34" s="8"/>
      <c r="I34" s="8"/>
      <c r="J34" s="8"/>
    </row>
    <row r="35" spans="2:10" s="101" customFormat="1" ht="15">
      <c r="B35" s="22"/>
      <c r="C35" s="164"/>
      <c r="D35" s="163"/>
      <c r="E35" s="163"/>
      <c r="F35" s="8"/>
      <c r="G35" s="8"/>
      <c r="H35" s="8"/>
      <c r="I35" s="8"/>
      <c r="J35" s="8"/>
    </row>
    <row r="36" spans="2:10" s="101" customFormat="1" ht="15.75">
      <c r="B36" s="8"/>
      <c r="C36" s="204" t="s">
        <v>114</v>
      </c>
      <c r="D36" s="205"/>
      <c r="E36" s="205"/>
      <c r="F36" s="8"/>
      <c r="G36" s="8"/>
      <c r="H36" s="8"/>
      <c r="I36" s="8"/>
      <c r="J36" s="8"/>
    </row>
    <row r="37" spans="2:10" s="101" customFormat="1" ht="15">
      <c r="B37" s="8"/>
      <c r="C37" s="206" t="s">
        <v>113</v>
      </c>
      <c r="D37" s="207">
        <f>+D38+D39</f>
        <v>249195546.26872778</v>
      </c>
      <c r="E37" s="163"/>
      <c r="F37" s="8"/>
      <c r="G37" s="8"/>
      <c r="H37" s="8"/>
      <c r="I37" s="8"/>
      <c r="J37" s="8"/>
    </row>
    <row r="38" spans="2:10" s="101" customFormat="1" ht="15">
      <c r="B38" s="8"/>
      <c r="C38" s="208" t="s">
        <v>115</v>
      </c>
      <c r="D38" s="209">
        <f>+D39*$D$12</f>
        <v>9663848.3528509475</v>
      </c>
      <c r="E38" s="163"/>
      <c r="F38" s="8"/>
      <c r="G38" s="8"/>
      <c r="H38" s="8"/>
      <c r="I38" s="8"/>
      <c r="J38" s="8"/>
    </row>
    <row r="39" spans="2:10" s="101" customFormat="1" ht="15">
      <c r="B39" s="8"/>
      <c r="C39" s="208" t="s">
        <v>100</v>
      </c>
      <c r="D39" s="209">
        <v>239531697.91587684</v>
      </c>
      <c r="E39" s="163"/>
      <c r="F39" s="8"/>
      <c r="G39" s="8"/>
      <c r="H39" s="8"/>
      <c r="I39" s="8"/>
      <c r="J39" s="8"/>
    </row>
    <row r="40" spans="2:10" s="101" customFormat="1" ht="15">
      <c r="B40" s="22"/>
      <c r="C40" s="164"/>
      <c r="D40" s="163"/>
      <c r="E40" s="163"/>
      <c r="F40" s="8"/>
      <c r="G40" s="8"/>
      <c r="H40" s="8"/>
      <c r="I40" s="8"/>
      <c r="J40" s="8"/>
    </row>
    <row r="41" spans="2:10" s="101" customFormat="1" ht="15.75">
      <c r="B41" s="8"/>
      <c r="C41" s="204" t="s">
        <v>104</v>
      </c>
      <c r="D41" s="205"/>
      <c r="E41" s="205"/>
      <c r="F41" s="8"/>
      <c r="G41" s="8"/>
      <c r="H41" s="8"/>
      <c r="I41" s="8"/>
      <c r="J41" s="8"/>
    </row>
    <row r="42" spans="2:10" s="101" customFormat="1" ht="15">
      <c r="B42" s="8"/>
      <c r="C42" s="206" t="s">
        <v>113</v>
      </c>
      <c r="D42" s="207">
        <f>+D43+D44</f>
        <v>398999059.85608494</v>
      </c>
      <c r="E42" s="163"/>
      <c r="F42" s="8"/>
      <c r="G42" s="8"/>
      <c r="H42" s="8"/>
      <c r="I42" s="8"/>
      <c r="J42" s="8"/>
    </row>
    <row r="43" spans="2:10" s="101" customFormat="1" ht="15">
      <c r="B43" s="8"/>
      <c r="C43" s="208" t="s">
        <v>115</v>
      </c>
      <c r="D43" s="209">
        <f>+D44*$D$13</f>
        <v>112376412.7856202</v>
      </c>
      <c r="E43" s="163"/>
      <c r="F43" s="8"/>
      <c r="G43" s="8"/>
      <c r="H43" s="8"/>
      <c r="I43" s="8"/>
      <c r="J43" s="8"/>
    </row>
    <row r="44" spans="2:10" s="101" customFormat="1" ht="15">
      <c r="B44" s="8"/>
      <c r="C44" s="208" t="s">
        <v>100</v>
      </c>
      <c r="D44" s="209">
        <v>286622647.07046473</v>
      </c>
      <c r="E44" s="163"/>
      <c r="F44" s="8"/>
      <c r="G44" s="203"/>
      <c r="H44" s="8"/>
      <c r="I44" s="8"/>
      <c r="J44" s="8"/>
    </row>
    <row r="45" spans="2:10" s="101" customFormat="1">
      <c r="B45" s="8"/>
      <c r="C45" s="8"/>
      <c r="D45" s="8"/>
      <c r="E45" s="8"/>
      <c r="F45" s="8"/>
      <c r="G45" s="8"/>
      <c r="H45" s="8"/>
      <c r="I45" s="8"/>
      <c r="J45" s="8"/>
    </row>
    <row r="46" spans="2:10">
      <c r="B46" s="8"/>
      <c r="C46" s="8"/>
      <c r="D46" s="8"/>
      <c r="E46" s="8"/>
      <c r="F46" s="8"/>
      <c r="G46" s="8"/>
      <c r="H46" s="8"/>
      <c r="I46" s="8"/>
      <c r="J46" s="8"/>
    </row>
    <row r="47" spans="2:10">
      <c r="B47" s="8"/>
      <c r="C47" s="8"/>
      <c r="D47" s="8"/>
      <c r="E47" s="8"/>
      <c r="F47" s="8"/>
      <c r="G47" s="8"/>
      <c r="H47" s="8"/>
      <c r="I47" s="8"/>
      <c r="J47" s="8"/>
    </row>
    <row r="48" spans="2:10">
      <c r="B48" s="8"/>
      <c r="C48" s="8"/>
      <c r="D48" s="8"/>
      <c r="E48" s="8"/>
      <c r="F48" s="8"/>
      <c r="G48" s="8"/>
      <c r="H48" s="8"/>
      <c r="I48" s="8"/>
      <c r="J48" s="8"/>
    </row>
    <row r="49" spans="2:10">
      <c r="B49" s="8"/>
      <c r="C49" s="8"/>
      <c r="D49" s="8"/>
      <c r="E49" s="8"/>
      <c r="F49" s="8"/>
      <c r="G49" s="8"/>
      <c r="H49" s="8"/>
      <c r="I49" s="8"/>
      <c r="J49" s="8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indexed="33"/>
  </sheetPr>
  <dimension ref="A1:CB57"/>
  <sheetViews>
    <sheetView showGridLines="0" zoomScaleNormal="100" workbookViewId="0"/>
  </sheetViews>
  <sheetFormatPr baseColWidth="10" defaultColWidth="9.140625" defaultRowHeight="12.75"/>
  <cols>
    <col min="2" max="2" width="15" customWidth="1"/>
    <col min="3" max="3" width="56.5703125" customWidth="1"/>
    <col min="4" max="4" width="30.85546875" customWidth="1"/>
    <col min="5" max="5" width="20.5703125" customWidth="1"/>
    <col min="6" max="6" width="14.28515625" customWidth="1"/>
    <col min="7" max="7" width="25.85546875" customWidth="1"/>
    <col min="8" max="8" width="18.85546875" customWidth="1"/>
    <col min="9" max="10" width="20.7109375" customWidth="1"/>
    <col min="11" max="11" width="27.85546875" customWidth="1"/>
    <col min="12" max="12" width="23.7109375" customWidth="1"/>
    <col min="13" max="13" width="28.140625" customWidth="1"/>
    <col min="14" max="14" width="10.5703125" bestFit="1" customWidth="1"/>
    <col min="15" max="16" width="17" customWidth="1"/>
    <col min="17" max="17" width="12.85546875" bestFit="1" customWidth="1"/>
    <col min="18" max="19" width="19.85546875" customWidth="1"/>
    <col min="20" max="21" width="19.85546875" style="101" customWidth="1"/>
    <col min="22" max="22" width="17.7109375" customWidth="1"/>
    <col min="23" max="23" width="12.5703125" customWidth="1"/>
    <col min="24" max="24" width="10.85546875" bestFit="1" customWidth="1"/>
    <col min="25" max="25" width="49.42578125" customWidth="1"/>
    <col min="26" max="26" width="24.140625" bestFit="1" customWidth="1"/>
    <col min="27" max="27" width="12.7109375" bestFit="1" customWidth="1"/>
    <col min="28" max="28" width="14.5703125" bestFit="1" customWidth="1"/>
    <col min="29" max="29" width="14.28515625" bestFit="1" customWidth="1"/>
    <col min="30" max="30" width="11.85546875" bestFit="1" customWidth="1"/>
    <col min="31" max="31" width="11.85546875" customWidth="1"/>
    <col min="32" max="32" width="43.5703125" customWidth="1"/>
    <col min="33" max="42" width="11.85546875" customWidth="1"/>
    <col min="43" max="43" width="11.85546875" style="101" customWidth="1"/>
    <col min="44" max="44" width="19.5703125" style="101" customWidth="1"/>
    <col min="45" max="45" width="9.5703125" bestFit="1" customWidth="1"/>
    <col min="46" max="46" width="8" customWidth="1"/>
    <col min="47" max="47" width="41" customWidth="1"/>
    <col min="48" max="48" width="17.140625" customWidth="1"/>
    <col min="49" max="49" width="46.42578125" bestFit="1" customWidth="1"/>
    <col min="50" max="50" width="24.42578125" customWidth="1"/>
    <col min="51" max="51" width="58.85546875" bestFit="1" customWidth="1"/>
    <col min="52" max="53" width="17.28515625" bestFit="1" customWidth="1"/>
    <col min="54" max="54" width="17.140625" bestFit="1" customWidth="1"/>
    <col min="55" max="55" width="12.28515625" bestFit="1" customWidth="1"/>
    <col min="56" max="56" width="9.140625" style="101"/>
    <col min="57" max="57" width="58.5703125" bestFit="1" customWidth="1"/>
    <col min="58" max="58" width="15" bestFit="1" customWidth="1"/>
    <col min="59" max="59" width="12.7109375" bestFit="1" customWidth="1"/>
    <col min="60" max="60" width="11.7109375" bestFit="1" customWidth="1"/>
    <col min="68" max="68" width="9.5703125" bestFit="1" customWidth="1"/>
    <col min="69" max="69" width="8" bestFit="1" customWidth="1"/>
    <col min="70" max="72" width="9.5703125" bestFit="1" customWidth="1"/>
    <col min="73" max="74" width="8" bestFit="1" customWidth="1"/>
    <col min="75" max="75" width="9.5703125" bestFit="1" customWidth="1"/>
    <col min="77" max="77" width="10.5703125" bestFit="1" customWidth="1"/>
    <col min="78" max="80" width="12.85546875" bestFit="1" customWidth="1"/>
  </cols>
  <sheetData>
    <row r="1" spans="1:80" ht="12" customHeight="1"/>
    <row r="2" spans="1:80" ht="12" customHeight="1"/>
    <row r="3" spans="1:80" ht="12" customHeight="1"/>
    <row r="4" spans="1:80" ht="12" customHeight="1"/>
    <row r="5" spans="1:80" ht="12" customHeight="1"/>
    <row r="6" spans="1:80" ht="12" customHeight="1"/>
    <row r="7" spans="1:80" ht="12" customHeight="1"/>
    <row r="8" spans="1:80" ht="12" customHeight="1"/>
    <row r="9" spans="1:80" ht="12" customHeight="1"/>
    <row r="10" spans="1:80" ht="12" customHeight="1"/>
    <row r="11" spans="1:80">
      <c r="BZ11" s="121"/>
    </row>
    <row r="12" spans="1:80" ht="20.25">
      <c r="B12" s="1"/>
      <c r="C12" s="196" t="s">
        <v>161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4" spans="1:80" ht="20.25">
      <c r="B14" s="1"/>
      <c r="C14" s="1" t="s">
        <v>83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6"/>
      <c r="T14" s="6"/>
      <c r="U14" s="6"/>
      <c r="V14" s="1"/>
      <c r="W14" s="1" t="s">
        <v>82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6"/>
      <c r="AP14" s="1"/>
      <c r="AQ14" s="1"/>
      <c r="AR14" s="1"/>
      <c r="AS14" s="1"/>
      <c r="AT14" s="196" t="s">
        <v>162</v>
      </c>
      <c r="AU14" s="196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N14" s="1" t="s">
        <v>87</v>
      </c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01" customFormat="1">
      <c r="A15" s="84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113"/>
      <c r="AH15" s="113"/>
      <c r="AI15" s="113"/>
      <c r="AJ15" s="113"/>
      <c r="AK15" s="113"/>
      <c r="AL15" s="113"/>
      <c r="AM15" s="113"/>
      <c r="AN15" s="113"/>
      <c r="AO15" s="113"/>
      <c r="AS15" s="103"/>
      <c r="AT15" s="104"/>
      <c r="AU15" s="108"/>
      <c r="AV15" s="104"/>
      <c r="AW15" s="109"/>
      <c r="AX15" s="104"/>
      <c r="AY15" s="110"/>
      <c r="AZ15" s="111"/>
      <c r="BA15" s="111"/>
      <c r="BB15" s="112"/>
      <c r="BE15" s="110"/>
      <c r="BF15" s="103"/>
      <c r="BG15" s="103"/>
      <c r="BH15" s="103"/>
    </row>
    <row r="16" spans="1:80" s="101" customFormat="1" ht="15.75">
      <c r="A16" s="84"/>
      <c r="C16" s="211" t="s">
        <v>111</v>
      </c>
      <c r="D16" s="211" t="s">
        <v>143</v>
      </c>
      <c r="AG16" s="113"/>
      <c r="AH16" s="113"/>
      <c r="AI16" s="113"/>
      <c r="AJ16" s="113"/>
      <c r="AK16" s="113"/>
      <c r="AL16" s="113"/>
      <c r="AM16" s="113"/>
      <c r="AN16" s="113"/>
      <c r="AO16" s="113"/>
      <c r="AS16" s="103"/>
      <c r="AT16" s="104"/>
      <c r="AU16" s="211" t="s">
        <v>111</v>
      </c>
      <c r="AV16" s="211" t="s">
        <v>143</v>
      </c>
      <c r="AW16" s="109"/>
      <c r="AX16" s="104"/>
      <c r="AY16" s="110"/>
      <c r="AZ16" s="111"/>
      <c r="BA16" s="111"/>
      <c r="BB16" s="112"/>
      <c r="BE16" s="110"/>
      <c r="BF16" s="103"/>
      <c r="BG16" s="103"/>
      <c r="BH16" s="103"/>
    </row>
    <row r="17" spans="1:62" s="101" customFormat="1">
      <c r="A17" s="84"/>
      <c r="C17" s="155" t="s">
        <v>129</v>
      </c>
      <c r="D17" s="295">
        <f>+'INPUT COSTEO'!D42</f>
        <v>3030203.8587880894</v>
      </c>
      <c r="AG17" s="113"/>
      <c r="AH17" s="113"/>
      <c r="AI17" s="113"/>
      <c r="AJ17" s="113"/>
      <c r="AK17" s="113"/>
      <c r="AL17" s="113"/>
      <c r="AM17" s="113"/>
      <c r="AN17" s="113"/>
      <c r="AO17" s="113"/>
      <c r="AS17" s="103"/>
      <c r="AT17" s="104"/>
      <c r="AU17" s="155" t="s">
        <v>153</v>
      </c>
      <c r="AV17" s="175">
        <f>+'INPUT COSTEO'!D43</f>
        <v>485117.35219988332</v>
      </c>
      <c r="AW17" s="109"/>
      <c r="AX17" s="104"/>
      <c r="AY17" s="110"/>
      <c r="AZ17" s="111"/>
      <c r="BA17" s="111"/>
      <c r="BB17" s="112"/>
      <c r="BE17" s="110"/>
      <c r="BF17" s="103"/>
      <c r="BG17" s="103"/>
      <c r="BH17" s="103"/>
    </row>
    <row r="18" spans="1:62" s="101" customFormat="1">
      <c r="A18" s="84"/>
      <c r="C18" s="155" t="s">
        <v>158</v>
      </c>
      <c r="D18" s="295">
        <f>+'INPUT ANEXO 5.1'!C15*1000</f>
        <v>1480000</v>
      </c>
      <c r="AG18" s="113"/>
      <c r="AH18" s="113"/>
      <c r="AI18" s="113"/>
      <c r="AJ18" s="113"/>
      <c r="AK18" s="113"/>
      <c r="AL18" s="113"/>
      <c r="AM18" s="113"/>
      <c r="AN18" s="113"/>
      <c r="AO18" s="113"/>
      <c r="AS18" s="103"/>
      <c r="AT18" s="104"/>
      <c r="AU18" s="155" t="s">
        <v>7</v>
      </c>
      <c r="AV18" s="175">
        <f>+AV17</f>
        <v>485117.35219988332</v>
      </c>
      <c r="AW18" s="109"/>
      <c r="AX18" s="104"/>
      <c r="AY18" s="110"/>
      <c r="AZ18" s="111"/>
      <c r="BA18" s="111"/>
      <c r="BB18" s="112"/>
      <c r="BE18" s="110"/>
      <c r="BF18" s="103"/>
      <c r="BG18" s="103"/>
      <c r="BH18" s="103"/>
    </row>
    <row r="19" spans="1:62" s="101" customFormat="1">
      <c r="A19" s="84"/>
      <c r="C19" s="155" t="s">
        <v>7</v>
      </c>
      <c r="D19" s="295">
        <f>+D17+D18</f>
        <v>4510203.8587880898</v>
      </c>
      <c r="AG19" s="113"/>
      <c r="AH19" s="113"/>
      <c r="AI19" s="113"/>
      <c r="AJ19" s="113"/>
      <c r="AK19" s="113"/>
      <c r="AL19" s="113"/>
      <c r="AM19" s="113"/>
      <c r="AN19" s="113"/>
      <c r="AO19" s="113"/>
      <c r="AS19" s="103"/>
      <c r="AT19" s="104"/>
      <c r="AW19" s="109"/>
      <c r="AX19" s="104"/>
      <c r="AY19" s="110"/>
      <c r="AZ19" s="111"/>
      <c r="BA19" s="111"/>
      <c r="BB19" s="112"/>
      <c r="BE19" s="110"/>
      <c r="BF19" s="103"/>
      <c r="BG19" s="103"/>
      <c r="BH19" s="103"/>
    </row>
    <row r="20" spans="1:62">
      <c r="A20" s="84"/>
      <c r="AG20" s="113"/>
      <c r="AH20" s="113"/>
      <c r="AI20" s="113"/>
      <c r="AJ20" s="113"/>
      <c r="AK20" s="113"/>
      <c r="AL20" s="113"/>
      <c r="AM20" s="113"/>
      <c r="AN20" s="113"/>
      <c r="AO20" s="113"/>
      <c r="AS20" s="66"/>
      <c r="AT20" s="104"/>
      <c r="AU20" s="108"/>
      <c r="AV20" s="104"/>
      <c r="AW20" s="109"/>
      <c r="AX20" s="104"/>
      <c r="AY20" s="110"/>
      <c r="AZ20" s="111"/>
      <c r="BA20" s="111"/>
      <c r="BB20" s="112"/>
      <c r="BE20" s="110"/>
      <c r="BF20" s="66"/>
      <c r="BG20" s="66"/>
      <c r="BH20" s="66"/>
    </row>
    <row r="21" spans="1:62" ht="20.25">
      <c r="A21" s="84"/>
      <c r="B21" s="1" t="s">
        <v>85</v>
      </c>
      <c r="C21" s="1"/>
      <c r="D21" s="1"/>
      <c r="E21" s="1"/>
      <c r="F21" s="1"/>
      <c r="G21" s="1"/>
      <c r="H21" s="1"/>
      <c r="AG21" s="113"/>
      <c r="AH21" s="113"/>
      <c r="AI21" s="113"/>
      <c r="AJ21" s="113"/>
      <c r="AK21" s="113"/>
      <c r="AL21" s="113"/>
      <c r="AM21" s="113"/>
      <c r="AN21" s="113"/>
      <c r="AO21" s="113"/>
      <c r="AS21" s="66"/>
      <c r="AT21" s="104"/>
      <c r="AU21" s="108"/>
      <c r="AV21" s="104"/>
      <c r="AW21" s="109"/>
      <c r="AX21" s="104"/>
      <c r="AY21" s="110"/>
      <c r="AZ21" s="111"/>
      <c r="BA21" s="111"/>
      <c r="BB21" s="112"/>
      <c r="BE21" s="110"/>
      <c r="BF21" s="66"/>
      <c r="BG21" s="66"/>
      <c r="BH21" s="66"/>
    </row>
    <row r="22" spans="1:62">
      <c r="A22" s="84"/>
      <c r="B22" s="8"/>
      <c r="C22" s="8"/>
      <c r="D22" s="8"/>
      <c r="E22" s="8"/>
      <c r="F22" s="8"/>
      <c r="G22" s="8"/>
      <c r="H22" s="8"/>
      <c r="AG22" s="113"/>
      <c r="AH22" s="113"/>
      <c r="AI22" s="113"/>
      <c r="AJ22" s="113"/>
      <c r="AK22" s="113"/>
      <c r="AL22" s="113"/>
      <c r="AM22" s="113"/>
      <c r="AN22" s="113"/>
      <c r="AO22" s="113"/>
      <c r="AS22" s="66"/>
      <c r="AT22" s="104"/>
      <c r="AU22" s="108"/>
      <c r="AV22" s="104"/>
      <c r="AW22" s="109"/>
      <c r="AX22" s="104"/>
      <c r="AY22" s="110"/>
      <c r="AZ22" s="111"/>
      <c r="BA22" s="111"/>
      <c r="BB22" s="112"/>
      <c r="BE22" s="110"/>
      <c r="BF22" s="66"/>
      <c r="BG22" s="66"/>
      <c r="BH22" s="66"/>
    </row>
    <row r="23" spans="1:62">
      <c r="A23" s="84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66"/>
      <c r="AT23" s="104"/>
      <c r="AU23" s="108"/>
      <c r="AV23" s="104"/>
      <c r="AW23" s="109"/>
      <c r="AX23" s="104"/>
      <c r="AY23" s="110"/>
      <c r="AZ23" s="111"/>
      <c r="BA23" s="111"/>
      <c r="BB23" s="112"/>
      <c r="BE23" s="110"/>
      <c r="BF23" s="66"/>
      <c r="BG23" s="66"/>
      <c r="BH23" s="66"/>
    </row>
    <row r="24" spans="1:62" ht="20.25">
      <c r="B24" s="1"/>
      <c r="C24" s="1" t="s">
        <v>45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6" spans="1:62" ht="20.25">
      <c r="B26" s="1"/>
      <c r="C26" s="196" t="s">
        <v>159</v>
      </c>
      <c r="D26" s="1"/>
      <c r="E26" s="1"/>
      <c r="F26" s="1"/>
      <c r="G26" s="6"/>
      <c r="H26" s="6"/>
      <c r="N26" s="1"/>
      <c r="O26" s="6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62" s="101" customFormat="1">
      <c r="C27" s="8"/>
      <c r="N27" s="8"/>
      <c r="O27" s="8"/>
      <c r="P27" s="8"/>
      <c r="Q27" s="8"/>
    </row>
    <row r="28" spans="1:62" s="101" customFormat="1" ht="15.75">
      <c r="C28" s="211" t="s">
        <v>111</v>
      </c>
      <c r="D28" s="211" t="s">
        <v>143</v>
      </c>
    </row>
    <row r="29" spans="1:62" s="101" customFormat="1">
      <c r="C29" s="155" t="s">
        <v>159</v>
      </c>
      <c r="D29" s="295">
        <f>+'INPUT COSTEO'!D44</f>
        <v>593326.52136366151</v>
      </c>
    </row>
    <row r="30" spans="1:62" s="101" customFormat="1">
      <c r="C30" s="155" t="s">
        <v>7</v>
      </c>
      <c r="D30" s="295">
        <f>+D29</f>
        <v>593326.52136366151</v>
      </c>
    </row>
    <row r="31" spans="1:62" s="101" customFormat="1"/>
    <row r="33" spans="2:24" ht="20.25">
      <c r="B33" s="1"/>
      <c r="C33" s="1" t="s">
        <v>56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102"/>
      <c r="U34" s="102"/>
      <c r="V34" s="3"/>
    </row>
    <row r="35" spans="2:24" ht="20.25">
      <c r="B35" s="3"/>
      <c r="C35" s="1"/>
      <c r="D35" s="1" t="s">
        <v>59</v>
      </c>
      <c r="E35" s="1"/>
      <c r="F35" s="1"/>
      <c r="G35" s="1"/>
      <c r="H35" s="1"/>
      <c r="I35" s="1"/>
      <c r="J35" s="1"/>
      <c r="K35" s="3"/>
      <c r="L35" s="3"/>
      <c r="M35" s="3"/>
      <c r="N35" s="3"/>
      <c r="O35" s="3"/>
      <c r="P35" s="3"/>
      <c r="Q35" s="3"/>
      <c r="R35" s="3"/>
      <c r="S35" s="3"/>
      <c r="T35" s="102"/>
      <c r="U35" s="102"/>
      <c r="V35" s="3"/>
    </row>
    <row r="36" spans="2:24">
      <c r="C36" s="22"/>
      <c r="D36" s="22"/>
      <c r="E36" s="22"/>
      <c r="F36" s="22"/>
      <c r="G36" s="22"/>
    </row>
    <row r="38" spans="2:24" ht="26.25" customHeight="1">
      <c r="D38" s="267" t="s">
        <v>60</v>
      </c>
      <c r="E38" s="268"/>
      <c r="F38" s="84"/>
      <c r="G38" s="267" t="s">
        <v>61</v>
      </c>
      <c r="H38" s="268"/>
      <c r="K38" s="123"/>
      <c r="L38" s="123"/>
    </row>
    <row r="39" spans="2:24" ht="38.25">
      <c r="D39" s="120" t="s">
        <v>57</v>
      </c>
      <c r="E39" s="127" t="s">
        <v>94</v>
      </c>
      <c r="G39" s="120" t="s">
        <v>57</v>
      </c>
      <c r="H39" s="127" t="s">
        <v>94</v>
      </c>
      <c r="K39" s="124"/>
      <c r="L39" s="124"/>
    </row>
    <row r="40" spans="2:24">
      <c r="D40" s="82" t="s">
        <v>58</v>
      </c>
      <c r="E40" s="212">
        <v>0</v>
      </c>
      <c r="F40" s="142"/>
      <c r="G40" s="82" t="s">
        <v>58</v>
      </c>
      <c r="H40" s="212">
        <v>0</v>
      </c>
      <c r="I40" s="142"/>
      <c r="K40" s="125"/>
      <c r="L40" s="125"/>
    </row>
    <row r="41" spans="2:24">
      <c r="F41" s="175">
        <f>+(E40+H40)/2</f>
        <v>0</v>
      </c>
      <c r="K41" s="126"/>
      <c r="L41" s="126"/>
    </row>
    <row r="42" spans="2:24" ht="25.5">
      <c r="D42" s="192" t="s">
        <v>145</v>
      </c>
      <c r="E42" s="175">
        <f>+F41*D48</f>
        <v>0</v>
      </c>
      <c r="G42" s="192" t="s">
        <v>145</v>
      </c>
      <c r="H42" s="175">
        <f>+F41*H48</f>
        <v>0</v>
      </c>
    </row>
    <row r="43" spans="2:24" s="101" customFormat="1" ht="25.5">
      <c r="D43" s="192" t="s">
        <v>146</v>
      </c>
      <c r="E43" s="175">
        <f>+E42*12</f>
        <v>0</v>
      </c>
      <c r="G43" s="192" t="s">
        <v>146</v>
      </c>
      <c r="H43" s="175">
        <f>+H42*12</f>
        <v>0</v>
      </c>
    </row>
    <row r="44" spans="2:24" ht="20.25">
      <c r="C44" s="1"/>
      <c r="D44" s="1" t="s">
        <v>69</v>
      </c>
      <c r="E44" s="1"/>
      <c r="F44" s="1"/>
      <c r="G44" s="1"/>
      <c r="H44" s="1"/>
      <c r="I44" s="1"/>
      <c r="J44" s="1"/>
    </row>
    <row r="45" spans="2:24">
      <c r="K45" s="81"/>
    </row>
    <row r="46" spans="2:24" s="101" customFormat="1">
      <c r="D46" s="171" t="s">
        <v>108</v>
      </c>
      <c r="E46" s="171"/>
      <c r="F46" s="8"/>
      <c r="G46" s="171" t="s">
        <v>109</v>
      </c>
      <c r="H46" s="171"/>
      <c r="K46" s="81"/>
    </row>
    <row r="47" spans="2:24">
      <c r="D47" s="133" t="s">
        <v>68</v>
      </c>
      <c r="E47" s="134"/>
      <c r="F47" s="83"/>
      <c r="G47" s="130" t="s">
        <v>63</v>
      </c>
      <c r="H47" s="131" t="s">
        <v>64</v>
      </c>
      <c r="I47" s="132" t="s">
        <v>65</v>
      </c>
    </row>
    <row r="48" spans="2:24">
      <c r="D48" s="213">
        <v>0</v>
      </c>
      <c r="E48" s="214" t="s">
        <v>62</v>
      </c>
      <c r="F48" s="215"/>
      <c r="G48" s="128" t="s">
        <v>66</v>
      </c>
      <c r="H48" s="216">
        <v>0</v>
      </c>
      <c r="I48" s="129" t="s">
        <v>67</v>
      </c>
    </row>
    <row r="49" spans="2:24">
      <c r="G49" s="66"/>
      <c r="H49" s="66"/>
      <c r="I49" s="66"/>
    </row>
    <row r="50" spans="2:24" ht="20.25">
      <c r="B50" s="1"/>
      <c r="C50" s="1" t="s">
        <v>75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2" spans="2:24" s="101" customFormat="1"/>
    <row r="53" spans="2:24" ht="20.25">
      <c r="B53" s="1"/>
      <c r="C53" s="1" t="s">
        <v>80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5" spans="2:24">
      <c r="B55" s="98"/>
    </row>
    <row r="56" spans="2:24">
      <c r="B56" s="98"/>
    </row>
    <row r="57" spans="2:24">
      <c r="B57" s="98"/>
    </row>
  </sheetData>
  <mergeCells count="2">
    <mergeCell ref="D38:E38"/>
    <mergeCell ref="G38:H38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20">
    <tabColor rgb="FF0070C0"/>
  </sheetPr>
  <dimension ref="A1:L22"/>
  <sheetViews>
    <sheetView zoomScaleNormal="100" workbookViewId="0"/>
  </sheetViews>
  <sheetFormatPr baseColWidth="10" defaultRowHeight="15"/>
  <cols>
    <col min="1" max="1" width="11.42578125" style="147"/>
    <col min="2" max="2" width="23.85546875" style="147" customWidth="1"/>
    <col min="3" max="3" width="17.5703125" style="147" customWidth="1"/>
    <col min="4" max="4" width="13.85546875" style="147" bestFit="1" customWidth="1"/>
    <col min="5" max="5" width="11.5703125" style="147" bestFit="1" customWidth="1"/>
    <col min="6" max="6" width="12.85546875" style="147" bestFit="1" customWidth="1"/>
    <col min="7" max="7" width="13.28515625" style="147" bestFit="1" customWidth="1"/>
    <col min="8" max="8" width="14.42578125" style="147" bestFit="1" customWidth="1"/>
    <col min="9" max="9" width="13.28515625" style="147" bestFit="1" customWidth="1"/>
    <col min="10" max="10" width="12.85546875" style="147" bestFit="1" customWidth="1"/>
    <col min="11" max="11" width="13.28515625" style="147" bestFit="1" customWidth="1"/>
    <col min="12" max="13" width="11.42578125" style="147"/>
    <col min="14" max="14" width="11.5703125" style="147" bestFit="1" customWidth="1"/>
    <col min="15" max="15" width="14.42578125" style="147" bestFit="1" customWidth="1"/>
    <col min="16" max="16384" width="11.42578125" style="147"/>
  </cols>
  <sheetData>
    <row r="1" spans="1:12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18.75">
      <c r="A2" s="217"/>
      <c r="B2" s="218" t="s">
        <v>130</v>
      </c>
      <c r="C2" s="218"/>
      <c r="D2" s="218"/>
      <c r="E2" s="218"/>
      <c r="F2" s="217"/>
      <c r="G2" s="217"/>
      <c r="H2" s="217"/>
      <c r="I2" s="217"/>
      <c r="J2" s="217"/>
      <c r="K2" s="217"/>
      <c r="L2" s="217"/>
    </row>
    <row r="3" spans="1:12" ht="6.75" customHeight="1">
      <c r="A3" s="217"/>
      <c r="B3" s="219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2" ht="45">
      <c r="A4" s="217"/>
      <c r="B4" s="217"/>
      <c r="C4" s="220" t="s">
        <v>177</v>
      </c>
      <c r="D4" s="221">
        <v>1.348250042851276</v>
      </c>
      <c r="E4" s="217"/>
      <c r="F4" s="217"/>
      <c r="G4" s="217"/>
      <c r="H4" s="217"/>
      <c r="I4" s="217"/>
      <c r="J4" s="217"/>
      <c r="K4" s="217"/>
      <c r="L4" s="217"/>
    </row>
    <row r="5" spans="1:1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</row>
    <row r="6" spans="1:1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</row>
    <row r="7" spans="1:12" ht="18.75">
      <c r="A7" s="217"/>
      <c r="B7" s="218" t="s">
        <v>178</v>
      </c>
      <c r="C7" s="218"/>
      <c r="D7" s="218"/>
      <c r="E7" s="218"/>
      <c r="F7" s="218"/>
      <c r="G7" s="218"/>
      <c r="H7" s="218"/>
      <c r="I7" s="218"/>
      <c r="J7" s="218"/>
      <c r="K7" s="217"/>
      <c r="L7" s="217"/>
    </row>
    <row r="8" spans="1:12" ht="6.7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</row>
    <row r="9" spans="1:12" ht="30">
      <c r="A9" s="217"/>
      <c r="B9" s="222" t="s">
        <v>130</v>
      </c>
      <c r="C9" s="223">
        <f>+D4</f>
        <v>1.348250042851276</v>
      </c>
      <c r="D9" s="217"/>
      <c r="E9" s="220" t="s">
        <v>131</v>
      </c>
      <c r="F9" s="220" t="s">
        <v>132</v>
      </c>
      <c r="G9" s="220" t="s">
        <v>133</v>
      </c>
      <c r="H9" s="220" t="s">
        <v>132</v>
      </c>
      <c r="I9" s="220" t="s">
        <v>134</v>
      </c>
      <c r="J9" s="220" t="s">
        <v>132</v>
      </c>
      <c r="K9" s="217"/>
      <c r="L9" s="217"/>
    </row>
    <row r="10" spans="1:12" ht="30">
      <c r="A10" s="217"/>
      <c r="B10" s="222" t="s">
        <v>135</v>
      </c>
      <c r="C10" s="224">
        <v>0.13</v>
      </c>
      <c r="D10" s="217"/>
      <c r="E10" s="225">
        <v>5</v>
      </c>
      <c r="F10" s="226" t="s">
        <v>136</v>
      </c>
      <c r="G10" s="225">
        <v>6</v>
      </c>
      <c r="H10" s="226" t="s">
        <v>137</v>
      </c>
      <c r="I10" s="225">
        <v>2</v>
      </c>
      <c r="J10" s="226" t="s">
        <v>136</v>
      </c>
      <c r="K10" s="227"/>
      <c r="L10" s="217"/>
    </row>
    <row r="11" spans="1:12" ht="30">
      <c r="A11" s="217"/>
      <c r="B11" s="222" t="s">
        <v>138</v>
      </c>
      <c r="C11" s="314">
        <v>10</v>
      </c>
      <c r="D11" s="217"/>
      <c r="E11" s="226">
        <v>2</v>
      </c>
      <c r="F11" s="226" t="s">
        <v>136</v>
      </c>
      <c r="G11" s="226">
        <v>0</v>
      </c>
      <c r="H11" s="226" t="s">
        <v>136</v>
      </c>
      <c r="I11" s="226">
        <v>1</v>
      </c>
      <c r="J11" s="226" t="s">
        <v>136</v>
      </c>
      <c r="K11" s="217"/>
      <c r="L11" s="217"/>
    </row>
    <row r="12" spans="1:1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</row>
    <row r="13" spans="1:12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ht="18.75">
      <c r="A14" s="217"/>
      <c r="B14" s="218" t="s">
        <v>180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7"/>
    </row>
    <row r="15" spans="1:12" ht="7.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</row>
    <row r="16" spans="1:12" ht="25.5">
      <c r="A16" s="217"/>
      <c r="B16" s="228" t="s">
        <v>139</v>
      </c>
      <c r="C16" s="228"/>
      <c r="D16" s="228"/>
      <c r="E16" s="228"/>
      <c r="F16" s="228"/>
      <c r="G16" s="228" t="s">
        <v>140</v>
      </c>
      <c r="H16" s="228" t="s">
        <v>131</v>
      </c>
      <c r="I16" s="228" t="s">
        <v>133</v>
      </c>
      <c r="J16" s="228" t="s">
        <v>134</v>
      </c>
      <c r="K16" s="228" t="s">
        <v>179</v>
      </c>
      <c r="L16" s="217"/>
    </row>
    <row r="17" spans="1:12">
      <c r="A17" s="217"/>
      <c r="B17" s="229" t="s">
        <v>141</v>
      </c>
      <c r="C17" s="230"/>
      <c r="D17" s="230"/>
      <c r="E17" s="231"/>
      <c r="F17" s="230"/>
      <c r="G17" s="315">
        <v>1000</v>
      </c>
      <c r="H17" s="232"/>
      <c r="I17" s="232"/>
      <c r="J17" s="232"/>
      <c r="K17" s="232"/>
      <c r="L17" s="217"/>
    </row>
    <row r="18" spans="1:12">
      <c r="A18" s="217"/>
      <c r="B18" s="229" t="s">
        <v>142</v>
      </c>
      <c r="C18" s="233"/>
      <c r="D18" s="234"/>
      <c r="E18" s="235"/>
      <c r="F18" s="236"/>
      <c r="G18" s="315">
        <f>+G17/C9</f>
        <v>741.70218299062856</v>
      </c>
      <c r="H18" s="316">
        <f>ROUNDUP(+G18*E10,0)</f>
        <v>3709</v>
      </c>
      <c r="I18" s="316">
        <f>ROUNDUP($G$10*G18,0)</f>
        <v>4451</v>
      </c>
      <c r="J18" s="316">
        <f>ROUNDUP(+G18*I10,0)</f>
        <v>1484</v>
      </c>
      <c r="K18" s="316">
        <f>SUM(H18:J18)/2</f>
        <v>4822</v>
      </c>
      <c r="L18" s="165"/>
    </row>
    <row r="19" spans="1:12">
      <c r="A19" s="217"/>
      <c r="B19" s="229" t="s">
        <v>144</v>
      </c>
      <c r="C19" s="233"/>
      <c r="D19" s="234"/>
      <c r="E19" s="235"/>
      <c r="F19" s="236"/>
      <c r="G19" s="315">
        <f>+$C$11</f>
        <v>10</v>
      </c>
      <c r="H19" s="316">
        <f>ROUNDUP(+G19*E11,0)</f>
        <v>20</v>
      </c>
      <c r="I19" s="316">
        <f>+G19*G11</f>
        <v>0</v>
      </c>
      <c r="J19" s="316">
        <f>ROUNDUP(+G19*I11,0)</f>
        <v>10</v>
      </c>
      <c r="K19" s="316">
        <f>SUM(H19:J19)</f>
        <v>30</v>
      </c>
      <c r="L19" s="165"/>
    </row>
    <row r="20" spans="1:12" ht="18.75">
      <c r="A20" s="217"/>
      <c r="B20" s="232"/>
      <c r="C20" s="232"/>
      <c r="D20" s="232"/>
      <c r="E20" s="232"/>
      <c r="F20" s="232"/>
      <c r="G20" s="237"/>
      <c r="H20" s="237"/>
      <c r="I20" s="237"/>
      <c r="J20" s="238" t="s">
        <v>169</v>
      </c>
      <c r="K20" s="317">
        <f>SUM(K18:K19)</f>
        <v>4852</v>
      </c>
      <c r="L20" s="217"/>
    </row>
    <row r="21" spans="1:12">
      <c r="A21" s="217"/>
      <c r="B21" s="239"/>
      <c r="C21" s="217"/>
      <c r="D21" s="217"/>
      <c r="E21" s="217"/>
      <c r="F21" s="217"/>
      <c r="G21" s="217"/>
      <c r="H21" s="217"/>
      <c r="I21" s="217"/>
      <c r="J21" s="217"/>
      <c r="K21" s="217"/>
      <c r="L21" s="217"/>
    </row>
    <row r="22" spans="1:1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Resultados</vt:lpstr>
      <vt:lpstr>Costos</vt:lpstr>
      <vt:lpstr>Anualidades_plataforma</vt:lpstr>
      <vt:lpstr>INPUT-ANUALIZACION</vt:lpstr>
      <vt:lpstr>Gastos TPP</vt:lpstr>
      <vt:lpstr>Descuento del distribuidor</vt:lpstr>
      <vt:lpstr>Tráfico</vt:lpstr>
      <vt:lpstr>CAPEX y OPEX</vt:lpstr>
      <vt:lpstr>INPUT DIMENSIONAMIENTO PLAT</vt:lpstr>
      <vt:lpstr>INPUT PRECIARIO PLATAFORMA</vt:lpstr>
      <vt:lpstr>INPUT COSTEO</vt:lpstr>
      <vt:lpstr>INPUT ANEXO 5.1</vt:lpstr>
      <vt:lpstr>Tipos de cambio</vt:lpstr>
      <vt:lpstr>IGV</vt:lpstr>
      <vt:lpstr>sApOFM</vt:lpstr>
      <vt:lpstr>sMargCostCom</vt:lpstr>
      <vt:lpstr>sVAP</vt:lpstr>
      <vt:lpstr>sVU</vt:lpstr>
      <vt:lpstr>WACC</vt:lpstr>
    </vt:vector>
  </TitlesOfParts>
  <Company>Frontier Economics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Lucena Betriu</dc:creator>
  <cp:lastModifiedBy>eruiz</cp:lastModifiedBy>
  <cp:lastPrinted>2004-02-17T16:56:33Z</cp:lastPrinted>
  <dcterms:created xsi:type="dcterms:W3CDTF">2003-10-24T13:18:20Z</dcterms:created>
  <dcterms:modified xsi:type="dcterms:W3CDTF">2011-01-20T19:46:52Z</dcterms:modified>
</cp:coreProperties>
</file>