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35" yWindow="60" windowWidth="13485" windowHeight="9615" tabRatio="883" activeTab="12"/>
  </bookViews>
  <sheets>
    <sheet name="INICIO" sheetId="8" r:id="rId1"/>
    <sheet name="RESULTADOS" sheetId="1" r:id="rId2"/>
    <sheet name="Datos" sheetId="2" r:id="rId3"/>
    <sheet name="CAPEX 3G" sheetId="5" r:id="rId4"/>
    <sheet name="OPEX 3G" sheetId="21" r:id="rId5"/>
    <sheet name="OPEX Tarjetas" sheetId="7" r:id="rId6"/>
    <sheet name="Cargo Tope 3G" sheetId="3" r:id="rId7"/>
    <sheet name="Anualización" sheetId="9" r:id="rId8"/>
    <sheet name="Tráficos HP" sheetId="24" r:id="rId9"/>
    <sheet name="Tarjetas" sheetId="22" r:id="rId10"/>
    <sheet name="Tráfico Servicios" sheetId="10" r:id="rId11"/>
    <sheet name="Tráficos Totales" sheetId="13" r:id="rId12"/>
    <sheet name="Traf 2009 Local" sheetId="17" r:id="rId13"/>
  </sheets>
  <externalReferences>
    <externalReference r:id="rId14"/>
  </externalReferences>
  <definedNames>
    <definedName name="__f" hidden="1">{#N/A,#N/A,FALSE,"$170M Cash";#N/A,#N/A,FALSE,"$250M Cash";#N/A,#N/A,FALSE,"$325M Cash"}</definedName>
    <definedName name="__new11" hidden="1">{#N/A,#N/A,FALSE,"Global by BU";#N/A,#N/A,FALSE,"U.S. by BU";#N/A,#N/A,FALSE,"Canada by BU";#N/A,#N/A,FALSE,"Europe by BU";#N/A,#N/A,FALSE,"Asia by BU";#N/A,#N/A,FALSE,"Cala by BU"}</definedName>
    <definedName name="_14__123Graph_ACHART_12" hidden="1">#REF!</definedName>
    <definedName name="_16__123Graph_ACHART_13" hidden="1">#REF!</definedName>
    <definedName name="_18__123Graph_ACHART_14" hidden="1">#REF!</definedName>
    <definedName name="_20__123Graph_BCHART_12" hidden="1">#REF!</definedName>
    <definedName name="_22__123Graph_BCHART_13" hidden="1">#REF!</definedName>
    <definedName name="_24__123Graph_BCHART_14" hidden="1">#REF!</definedName>
    <definedName name="_26__123Graph_BCHART_5" hidden="1">[1]MEX95IB!#REF!</definedName>
    <definedName name="_28__123Graph_CCHART_12" hidden="1">#REF!</definedName>
    <definedName name="_30__123Graph_CCHART_13" hidden="1">#REF!</definedName>
    <definedName name="_32__123Graph_CCHART_14" hidden="1">#REF!</definedName>
    <definedName name="_34__123Graph_XCHART_12" hidden="1">#REF!</definedName>
    <definedName name="_36__123Graph_XCHART_13" hidden="1">#REF!</definedName>
    <definedName name="_38__123Graph_XCHART_14" hidden="1">#REF!</definedName>
    <definedName name="_f" hidden="1">{#N/A,#N/A,FALSE,"$170M Cash";#N/A,#N/A,FALSE,"$250M Cash";#N/A,#N/A,FALSE,"$325M Cash"}</definedName>
    <definedName name="_xlnm._FilterDatabase" localSheetId="6" hidden="1">'Cargo Tope 3G'!#REF!</definedName>
    <definedName name="_new11" hidden="1">{#N/A,#N/A,FALSE,"Global by BU";#N/A,#N/A,FALSE,"U.S. by BU";#N/A,#N/A,FALSE,"Canada by BU";#N/A,#N/A,FALSE,"Europe by BU";#N/A,#N/A,FALSE,"Asia by BU";#N/A,#N/A,FALSE,"Cala by BU"}</definedName>
    <definedName name="a" hidden="1">{"'Apr-00'!$B$4:$AD$44"}</definedName>
    <definedName name="aa" hidden="1">{"'Apr-00'!$B$4:$AD$44"}</definedName>
    <definedName name="aaa" hidden="1">{"'Apr-00'!$B$4:$AD$44"}</definedName>
    <definedName name="anscount" hidden="1">1</definedName>
    <definedName name="ANUALIZACION">Anualización!$A$1:$B$31</definedName>
    <definedName name="b" hidden="1">{"'Apr-00'!$B$4:$AD$44"}</definedName>
    <definedName name="Benchmark_HHI" hidden="1">{"'Directory'!$A$72:$E$91"}</definedName>
    <definedName name="CAPEX">'CAPEX 3G'!$B$24</definedName>
    <definedName name="d" hidden="1">{#N/A,#N/A,FALSE,"$170M Cash";#N/A,#N/A,FALSE,"$250M Cash";#N/A,#N/A,FALSE,"$325M Cash"}</definedName>
    <definedName name="dga" hidden="1">{#N/A,#N/A,FALSE,"$170M Cash";#N/A,#N/A,FALSE,"$250M Cash";#N/A,#N/A,FALSE,"$325M Cash"}</definedName>
    <definedName name="Factores_Anualización">Anualización!$A$2:$B$31</definedName>
    <definedName name="HTML_CodePage" hidden="1">1252</definedName>
    <definedName name="HTML_Control" hidden="1">{"'Apr-00'!$B$4:$AD$44"}</definedName>
    <definedName name="HTML_Description" hidden="1">""</definedName>
    <definedName name="HTML_Email" hidden="1">""</definedName>
    <definedName name="HTML_Header" hidden="1">"Service Provider March 31, 2000 Headcount"</definedName>
    <definedName name="HTML_LastUpdate" hidden="1">"4/11/00"</definedName>
    <definedName name="HTML_LineAfter" hidden="1">FALSE</definedName>
    <definedName name="HTML_LineBefore" hidden="1">FALSE</definedName>
    <definedName name="HTML_Name" hidden="1">"Craig Hurt/Ken Knight"</definedName>
    <definedName name="HTML_OBDlg2" hidden="1">TRUE</definedName>
    <definedName name="HTML_OBDlg4" hidden="1">TRUE</definedName>
    <definedName name="HTML_OS" hidden="1">0</definedName>
    <definedName name="HTML_PathFile" hidden="1">"E:\Heads\html docs\events.htm"</definedName>
    <definedName name="HTML_Title" hidden="1">"SP&amp;CG April 2000 headcount"</definedName>
    <definedName name="HTMLControl" hidden="1">{"'Edit'!$A$1:$V$2277"}</definedName>
    <definedName name="IQ_ADDIN" hidden="1">"AUTO"</definedName>
    <definedName name="jim" hidden="1">{"'Directory'!$A$72:$E$91"}</definedName>
    <definedName name="jj" hidden="1">{"'Apr-00'!$B$4:$AD$44"}</definedName>
    <definedName name="l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M_PlaceofPath" hidden="1">"\\SNYCEQT0100\HOME\LZURLO\DATA\TELMEX\Models\tmx_vdf.xls"</definedName>
    <definedName name="na" hidden="1">{#N/A,#N/A,FALSE,"$170M Cash";#N/A,#N/A,FALSE,"$250M Cash";#N/A,#N/A,FALSE,"$325M Cash"}</definedName>
    <definedName name="new" hidden="1">{#N/A,#N/A,FALSE,"Global by BU";#N/A,#N/A,FALSE,"U.S. by BU";#N/A,#N/A,FALSE,"Canada by BU";#N/A,#N/A,FALSE,"Europe by BU";#N/A,#N/A,FALSE,"Asia by BU";#N/A,#N/A,FALSE,"Cala by BU"}</definedName>
    <definedName name="newbel" hidden="1">{"'Directory'!$A$72:$E$91"}</definedName>
    <definedName name="newbls" hidden="1">{"'Directory'!$A$72:$E$91"}</definedName>
    <definedName name="newt" hidden="1">{"'Directory'!$A$72:$E$91"}</definedName>
    <definedName name="newwcom" hidden="1">{"'Directory'!$A$72:$E$91"}</definedName>
    <definedName name="nnn" hidden="1">{#N/A,#N/A,FALSE,"$170M Cash";#N/A,#N/A,FALSE,"$250M Cash";#N/A,#N/A,FALSE,"$325M Cash"}</definedName>
    <definedName name="overhead">Datos!$D$9</definedName>
    <definedName name="PCT_PREPAGO">Datos!$B$29</definedName>
    <definedName name="PCT_TARJETAS_VOZ">Datos!$B$30</definedName>
    <definedName name="PERIODO_DEPRECIACION">Datos!$D$5</definedName>
    <definedName name="print" hidden="1">{#N/A,#N/A,FALSE,"$170M Cash";#N/A,#N/A,FALSE,"$250M Cash";#N/A,#N/A,FALSE,"$325M Cash"}</definedName>
    <definedName name="q" hidden="1">{"'Edit'!$A$1:$V$2277"}</definedName>
    <definedName name="s" hidden="1">{#N/A,#N/A,FALSE,"Global by BU";#N/A,#N/A,FALSE,"U.S. by BU";#N/A,#N/A,FALSE,"Canada by BU";#N/A,#N/A,FALSE,"Europe by BU";#N/A,#N/A,FALSE,"Asia by BU";#N/A,#N/A,FALSE,"Cala by BU"}</definedName>
    <definedName name="t" hidden="1">{"'Apr-00'!$B$4:$AD$44"}</definedName>
    <definedName name="Test" hidden="1">{"'Edit'!$A$1:$V$2277"}</definedName>
    <definedName name="Tipo_Cambio">Datos!$D$10</definedName>
    <definedName name="Traf_Plataforma">Datos!$D$7</definedName>
    <definedName name="Traf_Tarjetas">Datos!$D$8</definedName>
    <definedName name="vv" hidden="1">{"'Apr-00'!$B$4:$AD$44"}</definedName>
    <definedName name="w" hidden="1">{"'Apr-00'!$B$4:$AD$44"}</definedName>
    <definedName name="WACC">Datos!$D$4</definedName>
    <definedName name="wrn.LPU._.MG.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wrn.Month._.Report._.Package." hidden="1">{#N/A,#N/A,FALSE,"Global Wls Trend";#N/A,#N/A,FALSE,"Region Trend";#N/A,#N/A,FALSE,"PBU Trend"}</definedName>
    <definedName name="wrn.Monthly._.Report._.Package." hidden="1">{#N/A,#N/A,FALSE,"Global by BU";#N/A,#N/A,FALSE,"U.S. by BU";#N/A,#N/A,FALSE,"Canada by BU";#N/A,#N/A,FALSE,"Europe by BU";#N/A,#N/A,FALSE,"Asia by BU";#N/A,#N/A,FALSE,"Cala by BU"}</definedName>
    <definedName name="wrn.print._.all." hidden="1">{#N/A,#N/A,FALSE,"$170M Cash";#N/A,#N/A,FALSE,"$250M Cash";#N/A,#N/A,FALSE,"$325M Cash"}</definedName>
    <definedName name="wrn1.print._.all." hidden="1">{#N/A,#N/A,FALSE,"$170M Cash";#N/A,#N/A,FALSE,"$250M Cash";#N/A,#N/A,FALSE,"$325M Cash"}</definedName>
    <definedName name="wrt" hidden="1">{#N/A,#N/A,FALSE,"$170M Cash";#N/A,#N/A,FALSE,"$250M Cash";#N/A,#N/A,FALSE,"$325M Cash"}</definedName>
    <definedName name="xo" hidden="1">{#N/A,#N/A,FALSE,"Global by BU";#N/A,#N/A,FALSE,"U.S. by BU";#N/A,#N/A,FALSE,"Canada by BU";#N/A,#N/A,FALSE,"Europe by BU";#N/A,#N/A,FALSE,"Asia by BU";#N/A,#N/A,FALSE,"Cala by BU"}</definedName>
  </definedNames>
  <calcPr calcId="125725"/>
</workbook>
</file>

<file path=xl/calcChain.xml><?xml version="1.0" encoding="utf-8"?>
<calcChain xmlns="http://schemas.openxmlformats.org/spreadsheetml/2006/main">
  <c r="M25" i="7"/>
  <c r="L25"/>
  <c r="K25"/>
  <c r="J25"/>
  <c r="I25"/>
  <c r="H25"/>
  <c r="G25"/>
  <c r="F25"/>
  <c r="E25"/>
  <c r="D25"/>
  <c r="C25"/>
  <c r="B25"/>
  <c r="B8"/>
  <c r="M47" i="22"/>
  <c r="L47"/>
  <c r="K47"/>
  <c r="J47"/>
  <c r="I47"/>
  <c r="H47"/>
  <c r="G47"/>
  <c r="F47"/>
  <c r="E47"/>
  <c r="D47"/>
  <c r="C47"/>
  <c r="B47"/>
  <c r="M46"/>
  <c r="L46"/>
  <c r="K46"/>
  <c r="J46"/>
  <c r="I46"/>
  <c r="H46"/>
  <c r="G46"/>
  <c r="F46"/>
  <c r="E46"/>
  <c r="D46"/>
  <c r="C46"/>
  <c r="B46"/>
  <c r="M45"/>
  <c r="L45"/>
  <c r="K45"/>
  <c r="J45"/>
  <c r="I45"/>
  <c r="H45"/>
  <c r="G45"/>
  <c r="F45"/>
  <c r="E45"/>
  <c r="D45"/>
  <c r="C45"/>
  <c r="B45"/>
  <c r="M44"/>
  <c r="L44"/>
  <c r="K44"/>
  <c r="J44"/>
  <c r="I44"/>
  <c r="H44"/>
  <c r="G44"/>
  <c r="F44"/>
  <c r="E44"/>
  <c r="D44"/>
  <c r="C44"/>
  <c r="B44"/>
  <c r="M43"/>
  <c r="L43"/>
  <c r="K43"/>
  <c r="J43"/>
  <c r="I43"/>
  <c r="H43"/>
  <c r="G43"/>
  <c r="F43"/>
  <c r="E43"/>
  <c r="D43"/>
  <c r="C43"/>
  <c r="B43"/>
  <c r="M27"/>
  <c r="L27"/>
  <c r="K27"/>
  <c r="J27"/>
  <c r="I27"/>
  <c r="H27"/>
  <c r="G27"/>
  <c r="F27"/>
  <c r="E27"/>
  <c r="D27"/>
  <c r="C27"/>
  <c r="B27"/>
  <c r="M26"/>
  <c r="L26"/>
  <c r="K26"/>
  <c r="J26"/>
  <c r="I26"/>
  <c r="H26"/>
  <c r="G26"/>
  <c r="F26"/>
  <c r="E26"/>
  <c r="D26"/>
  <c r="C26"/>
  <c r="B26"/>
  <c r="M25"/>
  <c r="L25"/>
  <c r="K25"/>
  <c r="J25"/>
  <c r="I25"/>
  <c r="H25"/>
  <c r="G25"/>
  <c r="F25"/>
  <c r="E25"/>
  <c r="D25"/>
  <c r="C25"/>
  <c r="B25"/>
  <c r="M24"/>
  <c r="L24"/>
  <c r="K24"/>
  <c r="J24"/>
  <c r="I24"/>
  <c r="H24"/>
  <c r="G24"/>
  <c r="F24"/>
  <c r="E24"/>
  <c r="D24"/>
  <c r="C24"/>
  <c r="B24"/>
  <c r="M23"/>
  <c r="L23"/>
  <c r="K23"/>
  <c r="J23"/>
  <c r="I23"/>
  <c r="H23"/>
  <c r="G23"/>
  <c r="F23"/>
  <c r="E23"/>
  <c r="D23"/>
  <c r="C23"/>
  <c r="B23"/>
  <c r="L14" i="7" l="1"/>
  <c r="K14"/>
  <c r="J14"/>
  <c r="I14"/>
  <c r="H14"/>
  <c r="G14"/>
  <c r="F14"/>
  <c r="E14"/>
  <c r="D14"/>
  <c r="C14"/>
  <c r="B14"/>
  <c r="M14"/>
  <c r="B21" i="5" l="1"/>
  <c r="B24" s="1"/>
  <c r="C14" i="24" l="1"/>
  <c r="C12"/>
  <c r="C11"/>
  <c r="C10"/>
  <c r="C13"/>
  <c r="D14"/>
  <c r="E14" s="1"/>
  <c r="F14" s="1"/>
  <c r="O55" i="13"/>
  <c r="O48"/>
  <c r="M7"/>
  <c r="L7"/>
  <c r="K7"/>
  <c r="J7"/>
  <c r="I7"/>
  <c r="H7"/>
  <c r="G7"/>
  <c r="F7"/>
  <c r="E7"/>
  <c r="D7"/>
  <c r="C7"/>
  <c r="N7"/>
  <c r="O4"/>
  <c r="O5"/>
  <c r="O6"/>
  <c r="N47" i="22"/>
  <c r="N46"/>
  <c r="N45"/>
  <c r="N44"/>
  <c r="M48"/>
  <c r="L48"/>
  <c r="K48"/>
  <c r="J48"/>
  <c r="I48"/>
  <c r="H48"/>
  <c r="G48"/>
  <c r="F48"/>
  <c r="E48"/>
  <c r="D48"/>
  <c r="C48"/>
  <c r="N43"/>
  <c r="M38"/>
  <c r="L38"/>
  <c r="K38"/>
  <c r="J38"/>
  <c r="I38"/>
  <c r="H38"/>
  <c r="G38"/>
  <c r="F38"/>
  <c r="E38"/>
  <c r="D38"/>
  <c r="C38"/>
  <c r="B38"/>
  <c r="N37"/>
  <c r="N36"/>
  <c r="N35"/>
  <c r="N34"/>
  <c r="N33"/>
  <c r="M28"/>
  <c r="L28"/>
  <c r="K28"/>
  <c r="J28"/>
  <c r="I28"/>
  <c r="H28"/>
  <c r="G28"/>
  <c r="F28"/>
  <c r="E28"/>
  <c r="D28"/>
  <c r="C28"/>
  <c r="B28"/>
  <c r="M18"/>
  <c r="L18"/>
  <c r="K18"/>
  <c r="J18"/>
  <c r="I18"/>
  <c r="H18"/>
  <c r="G18"/>
  <c r="F18"/>
  <c r="E18"/>
  <c r="D18"/>
  <c r="C18"/>
  <c r="B18"/>
  <c r="N17"/>
  <c r="N16"/>
  <c r="N15"/>
  <c r="N14"/>
  <c r="N13"/>
  <c r="N18" s="1"/>
  <c r="M8"/>
  <c r="L8"/>
  <c r="K8"/>
  <c r="J8"/>
  <c r="I8"/>
  <c r="H8"/>
  <c r="G8"/>
  <c r="F8"/>
  <c r="E8"/>
  <c r="D8"/>
  <c r="C8"/>
  <c r="B8"/>
  <c r="N7"/>
  <c r="N6"/>
  <c r="N5"/>
  <c r="N4"/>
  <c r="N3"/>
  <c r="N48" l="1"/>
  <c r="G14" i="24"/>
  <c r="H14" s="1"/>
  <c r="O7" i="13"/>
  <c r="N24" i="22"/>
  <c r="N25"/>
  <c r="N26"/>
  <c r="N27"/>
  <c r="N8"/>
  <c r="N23"/>
  <c r="N38"/>
  <c r="B48"/>
  <c r="N28" l="1"/>
  <c r="N51" s="1"/>
  <c r="N52" s="1"/>
  <c r="I14" i="24"/>
  <c r="F17" i="2" l="1"/>
  <c r="F15" i="21" l="1"/>
  <c r="F14"/>
  <c r="F13"/>
  <c r="F12"/>
  <c r="E8"/>
  <c r="F8" s="1"/>
  <c r="E7"/>
  <c r="F7" s="1"/>
  <c r="E6"/>
  <c r="F6" s="1"/>
  <c r="E5"/>
  <c r="F5" s="1"/>
  <c r="E4"/>
  <c r="F4" s="1"/>
  <c r="U27" i="13"/>
  <c r="O24"/>
  <c r="O23"/>
  <c r="F16" i="21" l="1"/>
  <c r="F17" s="1"/>
  <c r="F9"/>
  <c r="F10" s="1"/>
  <c r="W28" i="17"/>
  <c r="N13" i="13" s="1"/>
  <c r="W27" i="17"/>
  <c r="N12" i="13" s="1"/>
  <c r="W26" i="17"/>
  <c r="N11" i="13" s="1"/>
  <c r="V28" i="17"/>
  <c r="M13" i="13" s="1"/>
  <c r="V27" i="17"/>
  <c r="M12" i="13" s="1"/>
  <c r="V26" i="17"/>
  <c r="M11" i="13" s="1"/>
  <c r="U28" i="17"/>
  <c r="L13" i="13" s="1"/>
  <c r="U27" i="17"/>
  <c r="L12" i="13" s="1"/>
  <c r="U26" i="17"/>
  <c r="L11" i="13" s="1"/>
  <c r="T28" i="17"/>
  <c r="K13" i="13" s="1"/>
  <c r="T27" i="17"/>
  <c r="K12" i="13" s="1"/>
  <c r="T26" i="17"/>
  <c r="K11" i="13" s="1"/>
  <c r="S28" i="17"/>
  <c r="J13" i="13" s="1"/>
  <c r="S27" i="17"/>
  <c r="J12" i="13" s="1"/>
  <c r="S26" i="17"/>
  <c r="J11" i="13" s="1"/>
  <c r="R28" i="17"/>
  <c r="I13" i="13" s="1"/>
  <c r="R27" i="17"/>
  <c r="I12" i="13" s="1"/>
  <c r="R26" i="17"/>
  <c r="I11" i="13" s="1"/>
  <c r="Q28" i="17"/>
  <c r="H13" i="13" s="1"/>
  <c r="Q27" i="17"/>
  <c r="H12" i="13" s="1"/>
  <c r="Q26" i="17"/>
  <c r="H11" i="13" s="1"/>
  <c r="P28" i="17"/>
  <c r="G13" i="13" s="1"/>
  <c r="P27" i="17"/>
  <c r="G12" i="13" s="1"/>
  <c r="P26" i="17"/>
  <c r="G11" i="13" s="1"/>
  <c r="O28" i="17"/>
  <c r="F13" i="13" s="1"/>
  <c r="O27" i="17"/>
  <c r="F12" i="13" s="1"/>
  <c r="O26" i="17"/>
  <c r="F11" i="13" s="1"/>
  <c r="N28" i="17"/>
  <c r="E13" i="13" s="1"/>
  <c r="N27" i="17"/>
  <c r="E12" i="13" s="1"/>
  <c r="N26" i="17"/>
  <c r="E11" i="13" s="1"/>
  <c r="M28" i="17"/>
  <c r="D13" i="13" s="1"/>
  <c r="M27" i="17"/>
  <c r="D12" i="13" s="1"/>
  <c r="M26" i="17"/>
  <c r="D11" i="13" s="1"/>
  <c r="L28" i="17"/>
  <c r="C13" i="13" s="1"/>
  <c r="L27" i="17"/>
  <c r="C12" i="13" s="1"/>
  <c r="L26" i="17"/>
  <c r="C11" i="13" s="1"/>
  <c r="U20" i="17"/>
  <c r="L17" i="13" s="1"/>
  <c r="U21" i="17"/>
  <c r="L18" i="13" s="1"/>
  <c r="U22" i="17"/>
  <c r="L19" i="13" s="1"/>
  <c r="W22" i="17"/>
  <c r="N19" i="13" s="1"/>
  <c r="W21" i="17"/>
  <c r="N18" i="13" s="1"/>
  <c r="W20" i="17"/>
  <c r="N17" i="13" s="1"/>
  <c r="V22" i="17"/>
  <c r="M19" i="13" s="1"/>
  <c r="V21" i="17"/>
  <c r="M18" i="13" s="1"/>
  <c r="V20" i="17"/>
  <c r="M17" i="13" s="1"/>
  <c r="T22" i="17"/>
  <c r="K19" i="13" s="1"/>
  <c r="T21" i="17"/>
  <c r="K18" i="13" s="1"/>
  <c r="T20" i="17"/>
  <c r="K17" i="13" s="1"/>
  <c r="S22" i="17"/>
  <c r="J19" i="13" s="1"/>
  <c r="S21" i="17"/>
  <c r="J18" i="13" s="1"/>
  <c r="S20" i="17"/>
  <c r="J17" i="13" s="1"/>
  <c r="R22" i="17"/>
  <c r="I19" i="13" s="1"/>
  <c r="R21" i="17"/>
  <c r="I18" i="13" s="1"/>
  <c r="R20" i="17"/>
  <c r="I17" i="13" s="1"/>
  <c r="Q22" i="17"/>
  <c r="H19" i="13" s="1"/>
  <c r="Q21" i="17"/>
  <c r="H18" i="13" s="1"/>
  <c r="Q20" i="17"/>
  <c r="H17" i="13" s="1"/>
  <c r="P22" i="17"/>
  <c r="G19" i="13" s="1"/>
  <c r="P21" i="17"/>
  <c r="G18" i="13" s="1"/>
  <c r="P20" i="17"/>
  <c r="G17" i="13" s="1"/>
  <c r="O22" i="17"/>
  <c r="F19" i="13" s="1"/>
  <c r="O21" i="17"/>
  <c r="F18" i="13" s="1"/>
  <c r="O20" i="17"/>
  <c r="F17" i="13" s="1"/>
  <c r="N22" i="17"/>
  <c r="E19" i="13" s="1"/>
  <c r="N21" i="17"/>
  <c r="E18" i="13" s="1"/>
  <c r="N20" i="17"/>
  <c r="E17" i="13" s="1"/>
  <c r="M22" i="17"/>
  <c r="D19" i="13" s="1"/>
  <c r="M21" i="17"/>
  <c r="D18" i="13" s="1"/>
  <c r="M20" i="17"/>
  <c r="D17" i="13" s="1"/>
  <c r="L22" i="17"/>
  <c r="C19" i="13" s="1"/>
  <c r="L21" i="17"/>
  <c r="C18" i="13" s="1"/>
  <c r="L20" i="17"/>
  <c r="C17" i="13" s="1"/>
  <c r="Q14" i="17"/>
  <c r="P14"/>
  <c r="O14"/>
  <c r="N14"/>
  <c r="M14"/>
  <c r="L14"/>
  <c r="Q13"/>
  <c r="P13"/>
  <c r="O13"/>
  <c r="N13"/>
  <c r="M13"/>
  <c r="L13"/>
  <c r="Q10"/>
  <c r="P10"/>
  <c r="O10"/>
  <c r="N10"/>
  <c r="M10"/>
  <c r="L10"/>
  <c r="O15"/>
  <c r="N15"/>
  <c r="G10"/>
  <c r="H10"/>
  <c r="G13"/>
  <c r="H13"/>
  <c r="G14"/>
  <c r="H14"/>
  <c r="F14"/>
  <c r="E14"/>
  <c r="D14"/>
  <c r="C14"/>
  <c r="F13"/>
  <c r="E13"/>
  <c r="D13"/>
  <c r="C13"/>
  <c r="F10"/>
  <c r="E10"/>
  <c r="D10"/>
  <c r="C10"/>
  <c r="I24"/>
  <c r="I23"/>
  <c r="I20"/>
  <c r="H25"/>
  <c r="G25"/>
  <c r="F25"/>
  <c r="E25"/>
  <c r="D25"/>
  <c r="C25"/>
  <c r="H105"/>
  <c r="G105"/>
  <c r="F105"/>
  <c r="E105"/>
  <c r="D105"/>
  <c r="C105"/>
  <c r="I104"/>
  <c r="I103"/>
  <c r="I100"/>
  <c r="H95"/>
  <c r="G95"/>
  <c r="F95"/>
  <c r="E95"/>
  <c r="D95"/>
  <c r="C95"/>
  <c r="I94"/>
  <c r="I93"/>
  <c r="I90"/>
  <c r="H85"/>
  <c r="G85"/>
  <c r="F85"/>
  <c r="E85"/>
  <c r="D85"/>
  <c r="C85"/>
  <c r="I84"/>
  <c r="I83"/>
  <c r="I80"/>
  <c r="H75"/>
  <c r="G75"/>
  <c r="F75"/>
  <c r="E75"/>
  <c r="D75"/>
  <c r="C75"/>
  <c r="I74"/>
  <c r="I73"/>
  <c r="I70"/>
  <c r="H65"/>
  <c r="G65"/>
  <c r="F65"/>
  <c r="E65"/>
  <c r="D65"/>
  <c r="C65"/>
  <c r="I64"/>
  <c r="I63"/>
  <c r="I60"/>
  <c r="H55"/>
  <c r="G55"/>
  <c r="F55"/>
  <c r="E55"/>
  <c r="D55"/>
  <c r="C55"/>
  <c r="I54"/>
  <c r="I53"/>
  <c r="I50"/>
  <c r="M15" l="1"/>
  <c r="Q15"/>
  <c r="P15"/>
  <c r="R14"/>
  <c r="R13"/>
  <c r="I105"/>
  <c r="H15"/>
  <c r="G15"/>
  <c r="E15"/>
  <c r="F15"/>
  <c r="I14"/>
  <c r="D15"/>
  <c r="I13"/>
  <c r="D11" i="24"/>
  <c r="E11" s="1"/>
  <c r="F11" s="1"/>
  <c r="M23" i="17"/>
  <c r="O23"/>
  <c r="Q23"/>
  <c r="S23"/>
  <c r="U23"/>
  <c r="W23"/>
  <c r="W29"/>
  <c r="U29"/>
  <c r="S29"/>
  <c r="Q29"/>
  <c r="O29"/>
  <c r="M29"/>
  <c r="X21"/>
  <c r="X27"/>
  <c r="I75"/>
  <c r="I95"/>
  <c r="L23"/>
  <c r="N23"/>
  <c r="P23"/>
  <c r="R23"/>
  <c r="T23"/>
  <c r="V23"/>
  <c r="L29"/>
  <c r="V29"/>
  <c r="T29"/>
  <c r="R29"/>
  <c r="P29"/>
  <c r="N29"/>
  <c r="X20"/>
  <c r="X22"/>
  <c r="X26"/>
  <c r="X28"/>
  <c r="M37" i="13"/>
  <c r="K37"/>
  <c r="I37"/>
  <c r="G37"/>
  <c r="E37"/>
  <c r="C37"/>
  <c r="M36"/>
  <c r="K36"/>
  <c r="I36"/>
  <c r="G36"/>
  <c r="E36"/>
  <c r="C36"/>
  <c r="M35"/>
  <c r="K35"/>
  <c r="I35"/>
  <c r="G35"/>
  <c r="E35"/>
  <c r="C35"/>
  <c r="N37"/>
  <c r="L37"/>
  <c r="J37"/>
  <c r="H37"/>
  <c r="F37"/>
  <c r="D37"/>
  <c r="N36"/>
  <c r="L36"/>
  <c r="J36"/>
  <c r="H36"/>
  <c r="F36"/>
  <c r="D36"/>
  <c r="N35"/>
  <c r="L35"/>
  <c r="J35"/>
  <c r="H35"/>
  <c r="F35"/>
  <c r="D35"/>
  <c r="N31"/>
  <c r="L31"/>
  <c r="J31"/>
  <c r="H31"/>
  <c r="F31"/>
  <c r="D31"/>
  <c r="N30"/>
  <c r="D10" i="24" s="1"/>
  <c r="L30" i="13"/>
  <c r="J30"/>
  <c r="H30"/>
  <c r="F30"/>
  <c r="D30"/>
  <c r="N29"/>
  <c r="N32" s="1"/>
  <c r="L29"/>
  <c r="L32" s="1"/>
  <c r="J29"/>
  <c r="J32" s="1"/>
  <c r="H29"/>
  <c r="H32" s="1"/>
  <c r="F29"/>
  <c r="F32" s="1"/>
  <c r="D29"/>
  <c r="D32" s="1"/>
  <c r="M31"/>
  <c r="K31"/>
  <c r="I31"/>
  <c r="G31"/>
  <c r="E31"/>
  <c r="C31"/>
  <c r="M30"/>
  <c r="K30"/>
  <c r="I30"/>
  <c r="G30"/>
  <c r="E30"/>
  <c r="C30"/>
  <c r="M29"/>
  <c r="M32" s="1"/>
  <c r="K29"/>
  <c r="K32" s="1"/>
  <c r="I29"/>
  <c r="I32" s="1"/>
  <c r="G29"/>
  <c r="G32" s="1"/>
  <c r="E29"/>
  <c r="E32" s="1"/>
  <c r="C29"/>
  <c r="O18"/>
  <c r="M20"/>
  <c r="M26" s="1"/>
  <c r="K20"/>
  <c r="K26" s="1"/>
  <c r="I20"/>
  <c r="I26" s="1"/>
  <c r="G20"/>
  <c r="G26" s="1"/>
  <c r="E20"/>
  <c r="E26" s="1"/>
  <c r="O13"/>
  <c r="C18" i="2" s="1"/>
  <c r="O12" i="13"/>
  <c r="C16" i="2" s="1"/>
  <c r="M14" i="13"/>
  <c r="K14"/>
  <c r="I14"/>
  <c r="G14"/>
  <c r="E14"/>
  <c r="O11"/>
  <c r="C17" i="2" s="1"/>
  <c r="O17" i="13"/>
  <c r="N20"/>
  <c r="N26" s="1"/>
  <c r="L20"/>
  <c r="L26" s="1"/>
  <c r="J20"/>
  <c r="J26" s="1"/>
  <c r="H20"/>
  <c r="H26" s="1"/>
  <c r="F20"/>
  <c r="F26" s="1"/>
  <c r="D20"/>
  <c r="D26" s="1"/>
  <c r="N14"/>
  <c r="L14"/>
  <c r="J14"/>
  <c r="H14"/>
  <c r="F14"/>
  <c r="D14"/>
  <c r="C20"/>
  <c r="O19"/>
  <c r="C14"/>
  <c r="I55" i="17"/>
  <c r="I85"/>
  <c r="R10"/>
  <c r="R15" s="1"/>
  <c r="L15"/>
  <c r="I10"/>
  <c r="I15" s="1"/>
  <c r="C15"/>
  <c r="I25"/>
  <c r="I65"/>
  <c r="C32" i="13" l="1"/>
  <c r="C8" i="2"/>
  <c r="C7"/>
  <c r="G11" i="24"/>
  <c r="H11" s="1"/>
  <c r="E10"/>
  <c r="F10" s="1"/>
  <c r="X29" i="17"/>
  <c r="X23"/>
  <c r="C19" i="2"/>
  <c r="F41" i="13"/>
  <c r="F38"/>
  <c r="J41"/>
  <c r="J38"/>
  <c r="N41"/>
  <c r="N38"/>
  <c r="E41"/>
  <c r="E38"/>
  <c r="I41"/>
  <c r="I38"/>
  <c r="M41"/>
  <c r="M38"/>
  <c r="F42"/>
  <c r="J42"/>
  <c r="N42"/>
  <c r="F43"/>
  <c r="J43"/>
  <c r="N43"/>
  <c r="E42"/>
  <c r="I42"/>
  <c r="M42"/>
  <c r="E43"/>
  <c r="I43"/>
  <c r="M43"/>
  <c r="D41"/>
  <c r="D38"/>
  <c r="H41"/>
  <c r="H38"/>
  <c r="L41"/>
  <c r="L38"/>
  <c r="C41"/>
  <c r="C38"/>
  <c r="G41"/>
  <c r="G38"/>
  <c r="K41"/>
  <c r="K38"/>
  <c r="D42"/>
  <c r="H42"/>
  <c r="L42"/>
  <c r="D43"/>
  <c r="H43"/>
  <c r="L43"/>
  <c r="C42"/>
  <c r="G42"/>
  <c r="K42"/>
  <c r="C43"/>
  <c r="G43"/>
  <c r="K43"/>
  <c r="O14"/>
  <c r="C26"/>
  <c r="O25"/>
  <c r="O26" s="1"/>
  <c r="O35"/>
  <c r="O36"/>
  <c r="O37"/>
  <c r="O31"/>
  <c r="O20"/>
  <c r="O29"/>
  <c r="O30"/>
  <c r="O41" l="1"/>
  <c r="I11" i="24"/>
  <c r="G10"/>
  <c r="H10" s="1"/>
  <c r="P73" i="13"/>
  <c r="P75" s="1"/>
  <c r="P77" s="1"/>
  <c r="P78" s="1"/>
  <c r="P79" s="1"/>
  <c r="D16" i="2"/>
  <c r="F16" s="1"/>
  <c r="D17"/>
  <c r="E17" s="1"/>
  <c r="D18"/>
  <c r="F18" s="1"/>
  <c r="B8" s="1"/>
  <c r="C17" i="3" s="1"/>
  <c r="O43" i="13"/>
  <c r="O42"/>
  <c r="O38"/>
  <c r="K44"/>
  <c r="G44"/>
  <c r="C44"/>
  <c r="L44"/>
  <c r="H44"/>
  <c r="D44"/>
  <c r="M44"/>
  <c r="I44"/>
  <c r="E44"/>
  <c r="N44"/>
  <c r="J44"/>
  <c r="F44"/>
  <c r="O32"/>
  <c r="F8" i="10"/>
  <c r="F5"/>
  <c r="E16" i="2" l="1"/>
  <c r="I10" i="24"/>
  <c r="B7" i="2"/>
  <c r="B25"/>
  <c r="D8"/>
  <c r="B30" s="1"/>
  <c r="D19"/>
  <c r="N58" i="13"/>
  <c r="D13" i="24" s="1"/>
  <c r="E13" s="1"/>
  <c r="I58" i="13"/>
  <c r="E18" i="2"/>
  <c r="D58" i="13"/>
  <c r="F51"/>
  <c r="F58"/>
  <c r="L58"/>
  <c r="G58"/>
  <c r="J58"/>
  <c r="E58"/>
  <c r="M58"/>
  <c r="H58"/>
  <c r="C58"/>
  <c r="K58"/>
  <c r="J51"/>
  <c r="M51"/>
  <c r="K51"/>
  <c r="N51"/>
  <c r="D12" i="24" s="1"/>
  <c r="E12" s="1"/>
  <c r="I51" i="13"/>
  <c r="D51"/>
  <c r="L51"/>
  <c r="O44"/>
  <c r="E51"/>
  <c r="H51"/>
  <c r="C51"/>
  <c r="G51"/>
  <c r="N24" i="7" l="1"/>
  <c r="N23"/>
  <c r="D7" i="2"/>
  <c r="C16" i="3"/>
  <c r="F12" i="24"/>
  <c r="G12" s="1"/>
  <c r="F13"/>
  <c r="G13" s="1"/>
  <c r="H13" s="1"/>
  <c r="E19" i="2"/>
  <c r="G19" s="1"/>
  <c r="F19"/>
  <c r="B24"/>
  <c r="O58" i="13"/>
  <c r="O51"/>
  <c r="B8" i="9"/>
  <c r="B30"/>
  <c r="B28"/>
  <c r="B26"/>
  <c r="B24"/>
  <c r="B22"/>
  <c r="B20"/>
  <c r="B18"/>
  <c r="B16"/>
  <c r="B14"/>
  <c r="B12"/>
  <c r="B10"/>
  <c r="B7"/>
  <c r="B5"/>
  <c r="B3"/>
  <c r="B31"/>
  <c r="B29"/>
  <c r="B27"/>
  <c r="B25"/>
  <c r="B23"/>
  <c r="B21"/>
  <c r="B19"/>
  <c r="B17"/>
  <c r="B15"/>
  <c r="B13"/>
  <c r="B11"/>
  <c r="B9"/>
  <c r="B6"/>
  <c r="B4"/>
  <c r="B2"/>
  <c r="N25" i="7" l="1"/>
  <c r="B3" i="8" s="1"/>
  <c r="C15" i="3"/>
  <c r="G18" i="2"/>
  <c r="G16"/>
  <c r="G17"/>
  <c r="H12" i="24"/>
  <c r="J13" s="1"/>
  <c r="I13"/>
  <c r="B19" i="2"/>
  <c r="L17"/>
  <c r="I12" i="24" l="1"/>
  <c r="J12"/>
  <c r="J10"/>
  <c r="B26" i="2" s="1"/>
  <c r="J11" i="24"/>
  <c r="J14"/>
  <c r="B21" i="3"/>
  <c r="N13" i="7"/>
  <c r="K17" i="2"/>
  <c r="M17" s="1"/>
  <c r="N4" i="7"/>
  <c r="N5"/>
  <c r="N6"/>
  <c r="N7"/>
  <c r="C8"/>
  <c r="D8"/>
  <c r="E8"/>
  <c r="F8"/>
  <c r="G8"/>
  <c r="H8"/>
  <c r="I8"/>
  <c r="J8"/>
  <c r="K8"/>
  <c r="L8"/>
  <c r="M8"/>
  <c r="D10" i="2" l="1"/>
  <c r="N8" i="7"/>
  <c r="B17" s="1"/>
  <c r="B29" i="2"/>
  <c r="N14" i="7"/>
  <c r="B18" s="1"/>
  <c r="C18" s="1"/>
  <c r="B19" l="1"/>
  <c r="C19" s="1"/>
  <c r="C12" i="3" s="1"/>
  <c r="C17" i="7"/>
  <c r="B23" i="3"/>
  <c r="C13" l="1"/>
  <c r="F19" i="21"/>
  <c r="C21" s="1"/>
  <c r="C11" i="3" l="1"/>
  <c r="B22" s="1"/>
  <c r="C22" s="1"/>
  <c r="E22" l="1"/>
  <c r="C6" l="1"/>
  <c r="C7" l="1"/>
  <c r="C8" s="1"/>
  <c r="C9"/>
  <c r="C10" s="1"/>
  <c r="D20" l="1"/>
  <c r="D24" s="1"/>
  <c r="K10" i="1" s="1"/>
  <c r="D2" i="8" s="1"/>
  <c r="C5" i="3"/>
  <c r="E20"/>
  <c r="E24" s="1"/>
  <c r="K11" i="1" s="1"/>
  <c r="E2" i="8" l="1"/>
  <c r="B20" i="3"/>
  <c r="K12" i="1" l="1"/>
  <c r="K13" s="1"/>
  <c r="F2" i="8" s="1"/>
  <c r="C20" i="3"/>
  <c r="B24"/>
  <c r="B27" s="1"/>
  <c r="C27" s="1"/>
  <c r="D27" s="1"/>
  <c r="K8" i="1" l="1"/>
  <c r="B2" i="8" s="1"/>
  <c r="F3" l="1"/>
  <c r="E3"/>
  <c r="D3"/>
</calcChain>
</file>

<file path=xl/sharedStrings.xml><?xml version="1.0" encoding="utf-8"?>
<sst xmlns="http://schemas.openxmlformats.org/spreadsheetml/2006/main" count="586" uniqueCount="249">
  <si>
    <t>Datos Relacionados con el Cálculo del Cargo de la Plataforma</t>
  </si>
  <si>
    <t>WACC</t>
  </si>
  <si>
    <t>Periodo de depreciación</t>
  </si>
  <si>
    <t>MODULO</t>
  </si>
  <si>
    <t>8610 ICC - HP HW and HW spare kit</t>
  </si>
  <si>
    <t>8610 ICC - 150 CAPS SW RTU</t>
  </si>
  <si>
    <t>5900 SRP &amp; RAMSES - SUN &amp; DELL HW and HW spare kit</t>
  </si>
  <si>
    <t>5900 SRP - 960 Port SW STU</t>
  </si>
  <si>
    <t>02 SG Boards - To support E1s for signaling</t>
  </si>
  <si>
    <t>08 GUMG Boards - To support E1s for voice</t>
  </si>
  <si>
    <t>Overhead</t>
  </si>
  <si>
    <t>% de Overhead</t>
  </si>
  <si>
    <t>Cargo de Interconexión Tope por Acceso a la Plataforma de Pago de NEXTEL</t>
  </si>
  <si>
    <t>Empresa</t>
  </si>
  <si>
    <t>Concepto</t>
  </si>
  <si>
    <t>Número Personas</t>
  </si>
  <si>
    <t>Costo Mensual US$</t>
  </si>
  <si>
    <t>Costo Total Mensual US$</t>
  </si>
  <si>
    <t>Nextel Perú IT</t>
  </si>
  <si>
    <t>Supervisor de Producción Prepago</t>
  </si>
  <si>
    <t>Supervisión de las operaciones prepago.</t>
  </si>
  <si>
    <t>Analistas de Producción Prepago</t>
  </si>
  <si>
    <t>Analistas de Desarrollo BackEnd</t>
  </si>
  <si>
    <t>Desarrolladores BackEnd</t>
  </si>
  <si>
    <t>Otros Analistas de IT</t>
  </si>
  <si>
    <t>Actividades de soporte de la insfraestructura de las aplicaciones locales (Servidores, Bases de Datos, etc).</t>
  </si>
  <si>
    <t>Costos de soporte de producción de IT mensual para la plataforma prepago 3G ICC (Proveedor Alcatel Lucent).</t>
  </si>
  <si>
    <t>Atención de casos de mesa de ayuda reportados por usuario. Configuración / Cambios de ofertas comerciales, promociones, etc en ICC. Soporte de ejecución de procesos de ICC. Reporte de incidentes a proveedor ALU.</t>
  </si>
  <si>
    <t>Atención de incidentes de aplicaciones locales de ICC. Mantenimiento y desarrollo de nuevas aplicaciones locales para ICC.</t>
  </si>
  <si>
    <t>Mantenimiento y desarrollo de nuevas aplicaciones locales para ICC.</t>
  </si>
  <si>
    <t>Alcatel Lucent</t>
  </si>
  <si>
    <t>Costo Mensual pagado por IT a proveedor Alcatel Lucent - On Site Support</t>
  </si>
  <si>
    <t>No aplica</t>
  </si>
  <si>
    <t>Costo Mensual del proveedor Alcatel Lucent para el soporte on site del software de la plataforma prepago.</t>
  </si>
  <si>
    <t>Costo Mensual pagado por IT a proveedor Alcatel Lucent - Gold Support</t>
  </si>
  <si>
    <t>Costo Mensual del proveedor Alcatel Lucent para el soporte remoto del software de la plataforma prepago.</t>
  </si>
  <si>
    <t>Costo Mensual pagado por IT a proveedor Alcatel Lucent - Subscriber Mgr Support</t>
  </si>
  <si>
    <t>Costo Mensual pagado por IT a proveedor Alcatel Lucent - Software Subscription Program</t>
  </si>
  <si>
    <t>Total</t>
  </si>
  <si>
    <t>Produccíon de tarjetas</t>
  </si>
  <si>
    <t>Atesoramiento</t>
  </si>
  <si>
    <t>Envíos + Material</t>
  </si>
  <si>
    <t>Tipo de cambio</t>
  </si>
  <si>
    <t>Mes/Año</t>
  </si>
  <si>
    <t>TC Nominal - Interbancario compra - promedio mensual</t>
  </si>
  <si>
    <t>TC Nominal - Interbancario venta promedio - promedio mensual</t>
  </si>
  <si>
    <t>Ene09</t>
  </si>
  <si>
    <t>Feb09</t>
  </si>
  <si>
    <t>Mar09</t>
  </si>
  <si>
    <t>Abr09</t>
  </si>
  <si>
    <t>May09</t>
  </si>
  <si>
    <t>Jun09</t>
  </si>
  <si>
    <t>Jul09</t>
  </si>
  <si>
    <t>Ago09</t>
  </si>
  <si>
    <t>Sep09</t>
  </si>
  <si>
    <t>Oct09</t>
  </si>
  <si>
    <t>Nov09</t>
  </si>
  <si>
    <t>Dic09</t>
  </si>
  <si>
    <t>Tarjetas Prepago Físicas (S/.)</t>
  </si>
  <si>
    <t>PRECIO (US$)</t>
  </si>
  <si>
    <t>Balanceador de tráfico</t>
  </si>
  <si>
    <t>Recojo</t>
  </si>
  <si>
    <t>Consumo Controlado</t>
  </si>
  <si>
    <t>Post-pago</t>
  </si>
  <si>
    <t>Pre-pago</t>
  </si>
  <si>
    <t>Tráfico a Utilizarse en el Modelo</t>
  </si>
  <si>
    <t>Instalación local de los sistemas de producción 8610 y 5900</t>
  </si>
  <si>
    <t>Total USD (sin IGV)</t>
  </si>
  <si>
    <t>Descripción de funciones</t>
  </si>
  <si>
    <t>Otros costos</t>
  </si>
  <si>
    <t>Total 2009</t>
  </si>
  <si>
    <t>Incentivo FFVV</t>
  </si>
  <si>
    <t>Costo Total Anual US$</t>
  </si>
  <si>
    <t>Fuente: BCRP</t>
  </si>
  <si>
    <t>Development Server</t>
  </si>
  <si>
    <t>%</t>
  </si>
  <si>
    <t>Control (Tarjetas) + Prepago</t>
  </si>
  <si>
    <t>% Total Prepago</t>
  </si>
  <si>
    <t>Cargo LRIC</t>
  </si>
  <si>
    <t>(USD)</t>
  </si>
  <si>
    <t>Tráfico Saliente que hace uso de la Plataforma iDEN</t>
  </si>
  <si>
    <t>Traf. Tarjetas de Usuarios Control</t>
  </si>
  <si>
    <t>Costos de la Plataforma 3G (CAPEX)</t>
  </si>
  <si>
    <t>Cargo Tope de la Plataforma de Pago</t>
  </si>
  <si>
    <t>Costo Anual  Personal y Soporte Alcatel-Lucent (US$)</t>
  </si>
  <si>
    <t>Enlace entre red de Ericsson y red 3G de Nextel</t>
  </si>
  <si>
    <t>Valor Obtenido</t>
  </si>
  <si>
    <t>OPEX</t>
  </si>
  <si>
    <t>CAPEX</t>
  </si>
  <si>
    <t>Años</t>
  </si>
  <si>
    <t>Factor Nuevo</t>
  </si>
  <si>
    <t>Servicio</t>
  </si>
  <si>
    <t>Funciones</t>
  </si>
  <si>
    <t>Descripción</t>
  </si>
  <si>
    <t>Demanda del Servicio</t>
  </si>
  <si>
    <t>Demanda</t>
  </si>
  <si>
    <t>Unidades</t>
  </si>
  <si>
    <t>SMS</t>
  </si>
  <si>
    <t>Demanda Asociada
 por Función</t>
  </si>
  <si>
    <t>Conexión Directa</t>
  </si>
  <si>
    <t>Conexion Directa Privada PrePago</t>
  </si>
  <si>
    <t>Llamadas efectuadas por  el servicio de Conexión Directa, modalidad Prepago. Julio 2009 a Diciembre 2009.</t>
  </si>
  <si>
    <t>segundos</t>
  </si>
  <si>
    <t>Telefonía</t>
  </si>
  <si>
    <t>Llamadas efectuadas por  el servicio de Interconexión telefónica, modalidad Prepago. Julio 2009 a Diciembre 2009.</t>
  </si>
  <si>
    <t>MMS</t>
  </si>
  <si>
    <t>Multimedia Interop text only</t>
  </si>
  <si>
    <t>Envío de Mensajeria Multimedia con otros operadores, solo texto. Julio 2009 a Diciembre 2009</t>
  </si>
  <si>
    <t>mensajes</t>
  </si>
  <si>
    <t>Multimedia with any content</t>
  </si>
  <si>
    <t>Envío de Mensajeria Multimedia on net con adjuntos. Julio 2009 a Diciembre 2009</t>
  </si>
  <si>
    <t>Multimedia with text only</t>
  </si>
  <si>
    <t>Envío de Mensajeria Multimedia on net, solo texto. Julio 2009 a Diciembre 2009</t>
  </si>
  <si>
    <t>Mobile Originator</t>
  </si>
  <si>
    <t>Mensajeria MO SMS On NET. Julio 2009 a Diciembre 2009</t>
  </si>
  <si>
    <t>MoSMS Interoperability</t>
  </si>
  <si>
    <t>Mensajeria MO SMS con otros operadores. Julio 2009 a Diciembre 2009</t>
  </si>
  <si>
    <t>Recargas</t>
  </si>
  <si>
    <t>Recarga de  Tarjetas</t>
  </si>
  <si>
    <t>pines</t>
  </si>
  <si>
    <t>overhead</t>
  </si>
  <si>
    <t>Interconex. Telefonica Pre Pago</t>
  </si>
  <si>
    <t>Recargas de  tarjetas que realiza  el cliente para  incrementar su saldo. Jilio 2009 a  Diciembre 2009</t>
  </si>
  <si>
    <t>ABONADOS</t>
  </si>
  <si>
    <t>MODALIDAD</t>
  </si>
  <si>
    <t>TOTAL</t>
  </si>
  <si>
    <t>Trim I-2009</t>
  </si>
  <si>
    <t>Trim II-2009</t>
  </si>
  <si>
    <t>Trim III-2009</t>
  </si>
  <si>
    <t>Trim IV-2009</t>
  </si>
  <si>
    <t>TRAFICO VOZ</t>
  </si>
  <si>
    <t>TRAFICO SMS</t>
  </si>
  <si>
    <t>SMS ESTIMADO MENSUAL</t>
  </si>
  <si>
    <t>TRAFICO MMS</t>
  </si>
  <si>
    <t>MMS ESTIMADO MENSUAL</t>
  </si>
  <si>
    <t>INDICADORES DEL SERVICIO MÓVIL CELULAR, SERVICIO DE COMUNICACIONES PERSONALES Y SERVICIO TRONCALIZADO</t>
  </si>
  <si>
    <t>Nextel del Perú S.A.</t>
  </si>
  <si>
    <t>Destino</t>
  </si>
  <si>
    <t>a Fijo</t>
  </si>
  <si>
    <t>a Móvil ON-NET</t>
  </si>
  <si>
    <t>a Móvil OFF-NET</t>
  </si>
  <si>
    <t>Conexión Directa Nextel ® (CD)</t>
  </si>
  <si>
    <t>Conexión Directa Internacional Nextel (CDI)</t>
  </si>
  <si>
    <t>América Móvil</t>
  </si>
  <si>
    <t>Telefónica Móviles</t>
  </si>
  <si>
    <t>LINEAS POSTPAGO</t>
  </si>
  <si>
    <t xml:space="preserve">   Tráfico incluido (2/)</t>
  </si>
  <si>
    <t>N/D</t>
  </si>
  <si>
    <t xml:space="preserve">   Tráfico adicional</t>
  </si>
  <si>
    <t>LINEAS CONTROL (2/)</t>
  </si>
  <si>
    <t>LINEAS PREPAGO</t>
  </si>
  <si>
    <t>(1/) Tiempo de comunicación expresado en minutos tasados al segundo, sin incluir llamadas a servicios gratuitos del operador.</t>
  </si>
  <si>
    <t>(2/) Indicar solamente el tráfico cursado incluido en el pago fijo mensual.</t>
  </si>
  <si>
    <t>Tráfico telefónico local originado en la red de servicios móviles (1/)</t>
  </si>
  <si>
    <t>Tráfico Originado LDI</t>
  </si>
  <si>
    <t>Tráfico Originado LDN</t>
  </si>
  <si>
    <t>Tráfico Originado Local</t>
  </si>
  <si>
    <t>Resumen</t>
  </si>
  <si>
    <t>LINEAS CONTROL</t>
  </si>
  <si>
    <t>VOZ IX</t>
  </si>
  <si>
    <t>VOZ CD</t>
  </si>
  <si>
    <t>Res 121</t>
  </si>
  <si>
    <t>US$</t>
  </si>
  <si>
    <t>Tráfico</t>
  </si>
  <si>
    <t>Despacho</t>
  </si>
  <si>
    <t>Cargo de Plataforma de Pago</t>
  </si>
  <si>
    <t>COMPONENTES</t>
  </si>
  <si>
    <t>COSTOS</t>
  </si>
  <si>
    <t>CPP / CPP(V)</t>
  </si>
  <si>
    <t>TRAFICOS</t>
  </si>
  <si>
    <r>
      <t>Tráfico anual de voz manejado por plataforma (</t>
    </r>
    <r>
      <rPr>
        <i/>
        <sz val="14"/>
        <color theme="1"/>
        <rFont val="Calibri"/>
        <family val="2"/>
        <scheme val="minor"/>
      </rPr>
      <t>T</t>
    </r>
    <r>
      <rPr>
        <i/>
        <vertAlign val="subscript"/>
        <sz val="14"/>
        <color theme="1"/>
        <rFont val="Calibri"/>
        <family val="2"/>
        <scheme val="minor"/>
      </rPr>
      <t>PP</t>
    </r>
    <r>
      <rPr>
        <i/>
        <sz val="14"/>
        <color theme="1"/>
        <rFont val="Calibri"/>
        <family val="2"/>
        <scheme val="minor"/>
      </rPr>
      <t>=T</t>
    </r>
    <r>
      <rPr>
        <i/>
        <vertAlign val="subscript"/>
        <sz val="14"/>
        <color theme="1"/>
        <rFont val="Calibri"/>
        <family val="2"/>
        <scheme val="minor"/>
      </rPr>
      <t>TF</t>
    </r>
    <r>
      <rPr>
        <i/>
        <sz val="14"/>
        <color theme="1"/>
        <rFont val="Calibri"/>
        <family val="2"/>
        <scheme val="minor"/>
      </rPr>
      <t>+T</t>
    </r>
    <r>
      <rPr>
        <i/>
        <vertAlign val="subscript"/>
        <sz val="14"/>
        <color theme="1"/>
        <rFont val="Calibri"/>
        <family val="2"/>
        <scheme val="minor"/>
      </rPr>
      <t>TV</t>
    </r>
    <r>
      <rPr>
        <i/>
        <sz val="14"/>
        <color theme="1"/>
        <rFont val="Calibri"/>
        <family val="2"/>
        <scheme val="minor"/>
      </rPr>
      <t>+T</t>
    </r>
    <r>
      <rPr>
        <i/>
        <vertAlign val="subscript"/>
        <sz val="14"/>
        <color theme="1"/>
        <rFont val="Calibri"/>
        <family val="2"/>
        <scheme val="minor"/>
      </rPr>
      <t>OTR</t>
    </r>
    <r>
      <rPr>
        <sz val="14"/>
        <rFont val="Arial"/>
        <family val="2"/>
      </rPr>
      <t>)</t>
    </r>
  </si>
  <si>
    <t>TTP(V)</t>
  </si>
  <si>
    <t>CALCULOS</t>
  </si>
  <si>
    <t>LRIC</t>
  </si>
  <si>
    <t>CPP(V)</t>
  </si>
  <si>
    <t>TPP(V)</t>
  </si>
  <si>
    <t>CTP(V)</t>
  </si>
  <si>
    <t>CTPFis(V)</t>
  </si>
  <si>
    <t>Costos comunes</t>
  </si>
  <si>
    <t>Total (US$)</t>
  </si>
  <si>
    <t>Voz</t>
  </si>
  <si>
    <t>PCT_PREPAGO</t>
  </si>
  <si>
    <t>CAPS</t>
  </si>
  <si>
    <t>Tráfico Diario</t>
  </si>
  <si>
    <t>Nro Días</t>
  </si>
  <si>
    <t>Tráfico HP</t>
  </si>
  <si>
    <t>Dur. Prom</t>
  </si>
  <si>
    <t>% HP</t>
  </si>
  <si>
    <t>Accesos HP</t>
  </si>
  <si>
    <t>Tarjetas Prepago Físicas Producidas en Unidades en el 2009</t>
  </si>
  <si>
    <t>Tarjetas Prepago Físicas Distribuidas en Unidades en el 2009</t>
  </si>
  <si>
    <t>Tarjetas Prepago Físicas Distribuidas en S/.</t>
  </si>
  <si>
    <t>Con IGV</t>
  </si>
  <si>
    <t>Tarjetas Prepago Virtuales Distribuidas en Unidades</t>
  </si>
  <si>
    <t>Tarjetas Prepago Virtuales Distribuidas en S/.</t>
  </si>
  <si>
    <t>Datos</t>
  </si>
  <si>
    <t>Erlangs</t>
  </si>
  <si>
    <t>Circuitos</t>
  </si>
  <si>
    <t>VOZ MOVIL LOCAL</t>
  </si>
  <si>
    <t>VOZ DESPACHO</t>
  </si>
  <si>
    <t>TOTAL DIC</t>
  </si>
  <si>
    <t>VOZ MOVIL POR DESTINO</t>
  </si>
  <si>
    <t>LDI ESTIMADO MENSUAL VOZ MOVIL</t>
  </si>
  <si>
    <t>LDN ESTIMADO MENSUAL VOZ MOVIL</t>
  </si>
  <si>
    <t>MMS TRIMESTRAL</t>
  </si>
  <si>
    <t>TRAFICO TOTAL VOZ</t>
  </si>
  <si>
    <t>Voz Móvil</t>
  </si>
  <si>
    <t>% Tráfico HP</t>
  </si>
  <si>
    <t>Voz Movil</t>
  </si>
  <si>
    <t>Tipo Servicio</t>
  </si>
  <si>
    <t>Tráfico Mes Pico</t>
  </si>
  <si>
    <t>% Utilización</t>
  </si>
  <si>
    <t>Plataforma</t>
  </si>
  <si>
    <t>Tarjetas</t>
  </si>
  <si>
    <t>INVERSION PLATAFORMA</t>
  </si>
  <si>
    <t>Costo Anual</t>
  </si>
  <si>
    <t>Costo Anual (Alcatel-Lucent)</t>
  </si>
  <si>
    <t>VOZ</t>
  </si>
  <si>
    <t>DESPACHO</t>
  </si>
  <si>
    <t>MENSAJES RED INTELIGENTE</t>
  </si>
  <si>
    <t>Eventos HP</t>
  </si>
  <si>
    <t>Total Utilizar voz</t>
  </si>
  <si>
    <t>capex total</t>
  </si>
  <si>
    <t>inversion total</t>
  </si>
  <si>
    <t>CAPEX asignable</t>
  </si>
  <si>
    <t>opex total</t>
  </si>
  <si>
    <t>OPEX asignable</t>
  </si>
  <si>
    <t>Tráfico anual de voz y despacho manejado por plataforma</t>
  </si>
  <si>
    <t>PCT_TARJETAS_VOZ</t>
  </si>
  <si>
    <r>
      <t>Costo anual de tarjetas de pago Asignable (</t>
    </r>
    <r>
      <rPr>
        <i/>
        <sz val="14"/>
        <color theme="1"/>
        <rFont val="Calibri"/>
        <family val="2"/>
        <scheme val="minor"/>
      </rPr>
      <t>C</t>
    </r>
    <r>
      <rPr>
        <i/>
        <vertAlign val="subscript"/>
        <sz val="14"/>
        <color theme="1"/>
        <rFont val="Calibri"/>
        <family val="2"/>
        <scheme val="minor"/>
      </rPr>
      <t>TPP</t>
    </r>
    <r>
      <rPr>
        <sz val="14"/>
        <rFont val="Arial"/>
        <family val="2"/>
      </rPr>
      <t>=</t>
    </r>
    <r>
      <rPr>
        <i/>
        <sz val="14"/>
        <color theme="1"/>
        <rFont val="Calibri"/>
        <family val="2"/>
        <scheme val="minor"/>
      </rPr>
      <t>C</t>
    </r>
    <r>
      <rPr>
        <i/>
        <vertAlign val="subscript"/>
        <sz val="14"/>
        <color theme="1"/>
        <rFont val="Calibri"/>
        <family val="2"/>
        <scheme val="minor"/>
      </rPr>
      <t>TF</t>
    </r>
    <r>
      <rPr>
        <sz val="14"/>
        <rFont val="Arial"/>
        <family val="2"/>
      </rPr>
      <t>+</t>
    </r>
    <r>
      <rPr>
        <i/>
        <sz val="14"/>
        <color theme="1"/>
        <rFont val="Calibri"/>
        <family val="2"/>
        <scheme val="minor"/>
      </rPr>
      <t>C</t>
    </r>
    <r>
      <rPr>
        <b/>
        <i/>
        <vertAlign val="subscript"/>
        <sz val="14"/>
        <color theme="1"/>
        <rFont val="Calibri"/>
        <family val="2"/>
        <scheme val="minor"/>
      </rPr>
      <t>TV</t>
    </r>
    <r>
      <rPr>
        <sz val="14"/>
        <rFont val="Arial"/>
        <family val="2"/>
      </rPr>
      <t>)</t>
    </r>
  </si>
  <si>
    <r>
      <t>Costo anual de plataforma de pago Asignable (</t>
    </r>
    <r>
      <rPr>
        <i/>
        <sz val="14"/>
        <color theme="1"/>
        <rFont val="Calibri"/>
        <family val="2"/>
        <scheme val="minor"/>
      </rPr>
      <t>C</t>
    </r>
    <r>
      <rPr>
        <i/>
        <vertAlign val="subscript"/>
        <sz val="14"/>
        <color theme="1"/>
        <rFont val="Calibri"/>
        <family val="2"/>
        <scheme val="minor"/>
      </rPr>
      <t>PP</t>
    </r>
    <r>
      <rPr>
        <i/>
        <sz val="14"/>
        <color theme="1"/>
        <rFont val="Calibri"/>
        <family val="2"/>
        <scheme val="minor"/>
      </rPr>
      <t>)</t>
    </r>
  </si>
  <si>
    <t>OPEX DE PLATAFORMA</t>
  </si>
  <si>
    <t>OPEX total de TARJETAS</t>
  </si>
  <si>
    <t>Cargo Fijo</t>
  </si>
  <si>
    <t>Parte Variable</t>
  </si>
  <si>
    <t>Costo de Distribución de Tarjetas</t>
  </si>
  <si>
    <t>Presentado por Nextel</t>
  </si>
  <si>
    <t>Costo anual de tarjeta de pago TOTAL</t>
  </si>
  <si>
    <r>
      <t>Costo anual de tarjeta de pago atribuíble (</t>
    </r>
    <r>
      <rPr>
        <i/>
        <sz val="11"/>
        <color theme="1"/>
        <rFont val="Calibri"/>
        <family val="2"/>
        <scheme val="minor"/>
      </rPr>
      <t>C</t>
    </r>
    <r>
      <rPr>
        <i/>
        <vertAlign val="subscript"/>
        <sz val="11"/>
        <color theme="1"/>
        <rFont val="Calibri"/>
        <family val="2"/>
        <scheme val="minor"/>
      </rPr>
      <t>TF</t>
    </r>
    <r>
      <rPr>
        <sz val="10"/>
        <rFont val="Arial"/>
        <family val="2"/>
      </rPr>
      <t>)</t>
    </r>
  </si>
  <si>
    <r>
      <t>Tráfico anual de voz generado por uso de tarjetas (</t>
    </r>
    <r>
      <rPr>
        <b/>
        <i/>
        <sz val="12"/>
        <color theme="1"/>
        <rFont val="Calibri"/>
        <family val="2"/>
        <scheme val="minor"/>
      </rPr>
      <t>T</t>
    </r>
    <r>
      <rPr>
        <b/>
        <i/>
        <vertAlign val="subscript"/>
        <sz val="12"/>
        <color theme="1"/>
        <rFont val="Calibri"/>
        <family val="2"/>
        <scheme val="minor"/>
      </rPr>
      <t>TP</t>
    </r>
    <r>
      <rPr>
        <b/>
        <sz val="12"/>
        <rFont val="Arial"/>
        <family val="2"/>
      </rPr>
      <t>)</t>
    </r>
  </si>
  <si>
    <t>Caro Final</t>
  </si>
  <si>
    <t>Ingresos Totales  x Tarjetas</t>
  </si>
  <si>
    <t>Comisiones TPP Físicas</t>
  </si>
  <si>
    <t>Comisiones TPP Virtuales</t>
  </si>
  <si>
    <t>Sin IGV</t>
  </si>
  <si>
    <t>Comisiones Tarjetas Prepago (S/.)</t>
  </si>
  <si>
    <t>S/.</t>
  </si>
  <si>
    <t>Otros Costos</t>
  </si>
  <si>
    <t>% Prepago de Tráfico Control</t>
  </si>
</sst>
</file>

<file path=xl/styles.xml><?xml version="1.0" encoding="utf-8"?>
<styleSheet xmlns="http://schemas.openxmlformats.org/spreadsheetml/2006/main">
  <numFmts count="62">
    <numFmt numFmtId="41" formatCode="_ * #,##0_ ;_ * \-#,##0_ ;_ * &quot;-&quot;_ ;_ @_ "/>
    <numFmt numFmtId="43" formatCode="_ * #,##0.00_ ;_ * \-#,##0.00_ ;_ * &quot;-&quot;??_ ;_ @_ "/>
    <numFmt numFmtId="164" formatCode="_-* #,##0_-;\-* #,##0_-;_-* &quot;-&quot;??_-;_-@_-"/>
    <numFmt numFmtId="165" formatCode="#,##0.0000"/>
    <numFmt numFmtId="166" formatCode="0.0000"/>
    <numFmt numFmtId="167" formatCode="0.000"/>
    <numFmt numFmtId="168" formatCode="_(&quot;$&quot;* #,##0.00_);_(&quot;$&quot;* \(#,##0.00\);_(&quot;$&quot;* &quot;-&quot;??_);_(@_)"/>
    <numFmt numFmtId="169" formatCode="0000"/>
    <numFmt numFmtId="170" formatCode="000000"/>
    <numFmt numFmtId="171" formatCode="#,##0,;\-#,##0,"/>
    <numFmt numFmtId="172" formatCode="#,##0.0,,,_);\(#,##0.0,,,\)"/>
    <numFmt numFmtId="173" formatCode="#,##0.0_);\(#,##0.0\)"/>
    <numFmt numFmtId="174" formatCode="_(* #,##0.0000_);_(* \(#,##0.0000\);_(* &quot;-&quot;??_);_(@_)"/>
    <numFmt numFmtId="175" formatCode="_(&quot;S/.&quot;* #,##0.00_);_(&quot;S/.&quot;* \(#,##0.00\);_(&quot;S/.&quot;* &quot;-&quot;??_);_(@_)"/>
    <numFmt numFmtId="176" formatCode="0.0%;\(0.0%\)"/>
    <numFmt numFmtId="177" formatCode="_-* #,##0\ _P_t_s_-;\-* #,##0\ _P_t_s_-;_-* &quot;-&quot;\ _P_t_s_-;_-@_-"/>
    <numFmt numFmtId="178" formatCode="_(* #,##0.0_);_(* \(#,##0.0\);_(* &quot;-&quot;?_);_(@_)"/>
    <numFmt numFmtId="179" formatCode="_-* #,##0.00_-;\-* #,##0.00_-;_-* &quot;-&quot;??_-;_-@_-"/>
    <numFmt numFmtId="180" formatCode="_(&quot;S/.&quot;* #,##0,_);_(&quot;S/.&quot;* \(#,##0,\)"/>
    <numFmt numFmtId="181" formatCode="&quot;S/.&quot;#,##0\ ;\(&quot;S/.&quot;#,##0\)"/>
    <numFmt numFmtId="182" formatCode="0.0%\ "/>
    <numFmt numFmtId="183" formatCode="0.0_);\(0.0\)"/>
    <numFmt numFmtId="184" formatCode="#,##0.00\ "/>
    <numFmt numFmtId="185" formatCode="0_);\(0\)"/>
    <numFmt numFmtId="186" formatCode="#,##0.0\ "/>
    <numFmt numFmtId="187" formatCode="mmmm\ d\,\ yyyy"/>
    <numFmt numFmtId="188" formatCode="0%\ \ \ \ \ "/>
    <numFmt numFmtId="189" formatCode="0.00_);\(0.00\)"/>
    <numFmt numFmtId="190" formatCode="_(* #,##0.0_);_(* \(#,##0.0\);_(* &quot;-&quot;??_);_(@_)"/>
    <numFmt numFmtId="191" formatCode="_(* #,##0_);_(* \(#,##0\);_(* &quot;-&quot;??_);_(@_)"/>
    <numFmt numFmtId="192" formatCode="0.0%"/>
    <numFmt numFmtId="193" formatCode="_ [$€]* #,##0.00_ ;_ [$€]* \-#,##0.00_ ;_ [$€]* &quot;-&quot;??_ ;_ @_ "/>
    <numFmt numFmtId="194" formatCode="_(&quot;S/.&quot;* #,##0.0_);_(&quot;S/.&quot;* \(#,##0.0\);_(&quot;S/.&quot;* &quot;-&quot;??_);_(@_)"/>
    <numFmt numFmtId="195" formatCode=";;;"/>
    <numFmt numFmtId="196" formatCode="_-* #,##0\ _F_B_-;\-* #,##0\ _F_B_-;_-* &quot;-&quot;\ _F_B_-;_-@_-"/>
    <numFmt numFmtId="197" formatCode="_-* #,##0.00\ _F_B_-;\-* #,##0.00\ _F_B_-;_-* &quot;-&quot;??\ _F_B_-;_-@_-"/>
    <numFmt numFmtId="198" formatCode="_-* #,##0\ _F_-;\-* #,##0\ _F_-;_-* &quot;-&quot;\ _F_-;_-@_-"/>
    <numFmt numFmtId="199" formatCode="_-* #,##0.00\ _F_-;\-* #,##0.00\ _F_-;_-* &quot;-&quot;??\ _F_-;_-@_-"/>
    <numFmt numFmtId="200" formatCode="#,##0.0,,_);\(#,##0.0,,\)"/>
    <numFmt numFmtId="201" formatCode="#,##0.0\ \P;[Red]\-#,##0.0\ \P"/>
    <numFmt numFmtId="202" formatCode="0.00_)"/>
    <numFmt numFmtId="203" formatCode="0.0"/>
    <numFmt numFmtId="204" formatCode="&quot;S/.&quot;#,##0_);\(&quot;S/.&quot;#,##0\)"/>
    <numFmt numFmtId="205" formatCode="#,##0.0,_);\(#,##0.0,\)"/>
    <numFmt numFmtId="206" formatCode="_(* #,##0,_);_(* \(#,##0,\)"/>
    <numFmt numFmtId="207" formatCode="_-* #,##0\ &quot;FB&quot;_-;\-* #,##0\ &quot;FB&quot;_-;_-* &quot;-&quot;\ &quot;FB&quot;_-;_-@_-"/>
    <numFmt numFmtId="208" formatCode="_-* #,##0.00\ &quot;FB&quot;_-;\-* #,##0.00\ &quot;FB&quot;_-;_-* &quot;-&quot;??\ &quot;FB&quot;_-;_-@_-"/>
    <numFmt numFmtId="209" formatCode="_ * #,##0_ ;_ * \-#,##0_ ;_ * &quot;-&quot;??_ ;_ @_ "/>
    <numFmt numFmtId="210" formatCode="_ * #,##0.0000000000_ ;_ * \-#,##0.0000000000_ ;_ * &quot;-&quot;??_ ;_ @_ "/>
    <numFmt numFmtId="211" formatCode="m/d"/>
    <numFmt numFmtId="212" formatCode="_(* #,##0.00_);_(* \(#,##0.00\);_(* &quot;-&quot;??_);_(@_)"/>
    <numFmt numFmtId="213" formatCode="_ &quot;$&quot;* #,##0_ ;_ &quot;$&quot;* \-#,##0_ ;_ &quot;$&quot;* &quot;-&quot;_ ;_ @_ "/>
    <numFmt numFmtId="214" formatCode="_ &quot;$&quot;* #,##0.00_ ;_ &quot;$&quot;* \-#,##0.00_ ;_ &quot;$&quot;* &quot;-&quot;??_ ;_ @_ "/>
    <numFmt numFmtId="215" formatCode="_(* #,##0_);_(* \(#,##0\);_(* &quot;-&quot;_);_(@_)"/>
    <numFmt numFmtId="216" formatCode="_-* #,##0_-;\-* #,##0_-;_-* &quot;-&quot;_-;_-@_-"/>
    <numFmt numFmtId="217" formatCode="_-&quot;$&quot;* #,##0_-;\-&quot;$&quot;* #,##0_-;_-&quot;$&quot;* &quot;-&quot;_-;_-@_-"/>
    <numFmt numFmtId="218" formatCode="_-&quot;$&quot;* #,##0.00_-;\-&quot;$&quot;* #,##0.00_-;_-&quot;$&quot;* &quot;-&quot;??_-;_-@_-"/>
    <numFmt numFmtId="219" formatCode="&quot;US$&quot;#,##0_);\(&quot;US$&quot;#,##0\)"/>
    <numFmt numFmtId="220" formatCode="_-[$$-409]* #,##0.00_ ;_-[$$-409]* \-#,##0.00\ ;_-[$$-409]* &quot;-&quot;??_ ;_-@_ "/>
    <numFmt numFmtId="221" formatCode="_ * #,##0.0000_ ;_ * \-#,##0.0000_ ;_ * &quot;-&quot;??_ ;_ @_ "/>
    <numFmt numFmtId="222" formatCode="0.0\ &quot;seg&quot;"/>
    <numFmt numFmtId="223" formatCode="&quot;S/.&quot;\ #,##0"/>
  </numFmts>
  <fonts count="144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0"/>
      <color indexed="8"/>
      <name val="Verdana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b/>
      <sz val="10"/>
      <color indexed="8"/>
      <name val="Verdana"/>
      <family val="2"/>
    </font>
    <font>
      <b/>
      <sz val="14"/>
      <color indexed="60"/>
      <name val="Verdana"/>
      <family val="2"/>
    </font>
    <font>
      <sz val="10"/>
      <color indexed="22"/>
      <name val="Verdana"/>
      <family val="2"/>
    </font>
    <font>
      <sz val="8"/>
      <name val="Calibri"/>
      <family val="2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10"/>
      <name val="Verdana"/>
      <family val="2"/>
    </font>
    <font>
      <sz val="9"/>
      <color indexed="8"/>
      <name val="Verdana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b/>
      <sz val="9"/>
      <color indexed="9"/>
      <name val="Verdana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11"/>
      <color theme="0" tint="-0.499984740745262"/>
      <name val="Calibri"/>
      <family val="2"/>
      <scheme val="minor"/>
    </font>
    <font>
      <sz val="10"/>
      <name val="Helv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8"/>
      <name val="Antique Olive"/>
      <family val="2"/>
    </font>
    <font>
      <sz val="8"/>
      <name val="Geneva"/>
    </font>
    <font>
      <b/>
      <sz val="9"/>
      <name val="Arial"/>
      <family val="2"/>
    </font>
    <font>
      <b/>
      <sz val="10"/>
      <name val="Arial MT"/>
    </font>
    <font>
      <sz val="10"/>
      <name val="Helv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sz val="9"/>
      <name val="Arial"/>
      <family val="2"/>
      <charset val="177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sz val="11"/>
      <color indexed="9"/>
      <name val="Calibri"/>
      <family val="2"/>
    </font>
    <font>
      <sz val="12"/>
      <color indexed="24"/>
      <name val="Arial"/>
      <family val="2"/>
    </font>
    <font>
      <sz val="10"/>
      <name val="BERNHARD"/>
    </font>
    <font>
      <sz val="9"/>
      <name val="Arial"/>
      <family val="2"/>
    </font>
    <font>
      <sz val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i/>
      <sz val="6"/>
      <name val="Times New Roman"/>
      <family val="1"/>
    </font>
    <font>
      <sz val="11"/>
      <color indexed="17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b/>
      <sz val="11"/>
      <color indexed="56"/>
      <name val="Calibri"/>
      <family val="2"/>
    </font>
    <font>
      <sz val="12"/>
      <name val="Arial"/>
      <family val="2"/>
      <charset val="177"/>
    </font>
    <font>
      <sz val="11"/>
      <color indexed="62"/>
      <name val="Calibri"/>
      <family val="2"/>
    </font>
    <font>
      <sz val="12"/>
      <name val="Helv"/>
    </font>
    <font>
      <sz val="10"/>
      <name val="Geneva"/>
    </font>
    <font>
      <sz val="10"/>
      <name val="Arial"/>
      <family val="2"/>
      <charset val="177"/>
    </font>
    <font>
      <sz val="11"/>
      <color indexed="52"/>
      <name val="Calibri"/>
      <family val="2"/>
    </font>
    <font>
      <sz val="10"/>
      <name val="MS Sans Serif"/>
      <family val="2"/>
    </font>
    <font>
      <sz val="9"/>
      <name val="Trebuchet MS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0"/>
      <name val="Arial CE"/>
      <charset val="238"/>
    </font>
    <font>
      <sz val="12"/>
      <name val="Arial"/>
      <family val="2"/>
    </font>
    <font>
      <i/>
      <sz val="9"/>
      <color indexed="12"/>
      <name val="Helv"/>
    </font>
    <font>
      <b/>
      <sz val="11"/>
      <color indexed="63"/>
      <name val="Calibri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sz val="10"/>
      <name val="MS Sans Serif"/>
      <family val="2"/>
    </font>
    <font>
      <sz val="8"/>
      <name val="Helv"/>
    </font>
    <font>
      <sz val="7"/>
      <name val="Geneva"/>
    </font>
    <font>
      <b/>
      <sz val="8"/>
      <name val="Arial"/>
      <family val="2"/>
    </font>
    <font>
      <b/>
      <sz val="8"/>
      <name val="Times New Roman"/>
      <family val="1"/>
    </font>
    <font>
      <sz val="10"/>
      <name val="Comic Sans MS"/>
      <family val="4"/>
    </font>
    <font>
      <b/>
      <sz val="18"/>
      <color indexed="56"/>
      <name val="Cambria"/>
      <family val="2"/>
    </font>
    <font>
      <b/>
      <sz val="16"/>
      <color indexed="62"/>
      <name val="Arial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sz val="10"/>
      <name val="Palatino"/>
      <family val="1"/>
    </font>
    <font>
      <sz val="11"/>
      <name val="MS ??"/>
      <family val="1"/>
      <charset val="128"/>
    </font>
    <font>
      <sz val="14"/>
      <name val="Terminal"/>
      <family val="3"/>
      <charset val="128"/>
    </font>
    <font>
      <b/>
      <sz val="18"/>
      <name val="Helv"/>
    </font>
    <font>
      <sz val="14"/>
      <name val="Helv"/>
    </font>
    <font>
      <b/>
      <sz val="14"/>
      <name val="Helv"/>
    </font>
    <font>
      <sz val="8"/>
      <name val="Tahoma"/>
      <family val="2"/>
    </font>
    <font>
      <b/>
      <sz val="12"/>
      <name val="Palatino"/>
      <family val="1"/>
    </font>
    <font>
      <b/>
      <sz val="10"/>
      <name val="Palatino"/>
      <family val="1"/>
    </font>
    <font>
      <b/>
      <u/>
      <sz val="10"/>
      <name val="Palatino"/>
      <family val="1"/>
    </font>
    <font>
      <b/>
      <sz val="12"/>
      <name val="Helv"/>
    </font>
    <font>
      <b/>
      <i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sz val="10"/>
      <color indexed="10"/>
      <name val="Times New Roman"/>
      <family val="1"/>
    </font>
    <font>
      <sz val="12"/>
      <name val="新細明體"/>
      <family val="1"/>
      <charset val="136"/>
    </font>
    <font>
      <sz val="10"/>
      <color indexed="22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0"/>
      <color theme="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i/>
      <sz val="14"/>
      <color theme="1"/>
      <name val="Calibri"/>
      <family val="2"/>
      <scheme val="minor"/>
    </font>
    <font>
      <i/>
      <vertAlign val="subscript"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vertAlign val="subscript"/>
      <sz val="14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Verdana"/>
      <family val="2"/>
    </font>
    <font>
      <sz val="11"/>
      <color rgb="FFFF0000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i/>
      <sz val="22"/>
      <color rgb="FFFFFF00"/>
      <name val="Calibri"/>
      <family val="2"/>
      <scheme val="minor"/>
    </font>
    <font>
      <sz val="10"/>
      <color theme="0"/>
      <name val="Verdana"/>
      <family val="2"/>
    </font>
    <font>
      <i/>
      <sz val="10"/>
      <color theme="0" tint="-0.34998626667073579"/>
      <name val="Verdana"/>
      <family val="2"/>
    </font>
    <font>
      <sz val="10"/>
      <color theme="0"/>
      <name val="Arial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4"/>
      <color theme="1"/>
      <name val="Calibri"/>
      <family val="2"/>
      <scheme val="minor"/>
    </font>
    <font>
      <i/>
      <sz val="14"/>
      <color theme="0"/>
      <name val="Calibri"/>
      <family val="2"/>
      <scheme val="minor"/>
    </font>
    <font>
      <i/>
      <sz val="10"/>
      <color indexed="8"/>
      <name val="Verdana"/>
      <family val="2"/>
    </font>
    <font>
      <b/>
      <i/>
      <sz val="12"/>
      <color theme="1"/>
      <name val="Calibri"/>
      <family val="2"/>
      <scheme val="minor"/>
    </font>
    <font>
      <b/>
      <i/>
      <vertAlign val="subscript"/>
      <sz val="12"/>
      <color theme="1"/>
      <name val="Calibri"/>
      <family val="2"/>
      <scheme val="minor"/>
    </font>
    <font>
      <b/>
      <sz val="10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661A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42"/>
        <bgColor indexed="22"/>
      </patternFill>
    </fill>
    <fill>
      <patternFill patternType="solid">
        <fgColor indexed="27"/>
        <bgColor indexed="26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rgb="FF92D0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527EB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0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06">
    <xf numFmtId="0" fontId="0" fillId="0" borderId="0"/>
    <xf numFmtId="0" fontId="1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30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11" fillId="10" borderId="0"/>
    <xf numFmtId="0" fontId="32" fillId="0" borderId="0" applyNumberFormat="0" applyFill="0" applyBorder="0" applyAlignment="0" applyProtection="0"/>
    <xf numFmtId="0" fontId="11" fillId="0" borderId="0"/>
    <xf numFmtId="169" fontId="33" fillId="0" borderId="0">
      <alignment horizontal="left"/>
    </xf>
    <xf numFmtId="170" fontId="34" fillId="0" borderId="0">
      <alignment horizontal="left"/>
    </xf>
    <xf numFmtId="0" fontId="35" fillId="0" borderId="0">
      <alignment horizontal="left" vertical="center"/>
      <protection locked="0"/>
    </xf>
    <xf numFmtId="2" fontId="36" fillId="0" borderId="0">
      <alignment horizontal="left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37" fillId="0" borderId="0"/>
    <xf numFmtId="0" fontId="38" fillId="21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7" fillId="0" borderId="0">
      <protection locked="0"/>
    </xf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8" borderId="0" applyNumberFormat="0" applyBorder="0" applyAlignment="0" applyProtection="0"/>
    <xf numFmtId="0" fontId="11" fillId="0" borderId="0"/>
    <xf numFmtId="0" fontId="39" fillId="0" borderId="0">
      <alignment horizontal="center" wrapText="1"/>
      <protection locked="0"/>
    </xf>
    <xf numFmtId="171" fontId="11" fillId="0" borderId="0" applyFont="0" applyFill="0" applyBorder="0" applyAlignment="0" applyProtection="0"/>
    <xf numFmtId="0" fontId="40" fillId="12" borderId="0" applyNumberFormat="0" applyBorder="0" applyAlignment="0" applyProtection="0"/>
    <xf numFmtId="172" fontId="41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right"/>
    </xf>
    <xf numFmtId="0" fontId="11" fillId="0" borderId="0"/>
    <xf numFmtId="0" fontId="11" fillId="0" borderId="0" applyFill="0" applyBorder="0" applyAlignment="0"/>
    <xf numFmtId="173" fontId="37" fillId="0" borderId="0" applyFill="0" applyBorder="0" applyAlignment="0"/>
    <xf numFmtId="174" fontId="37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175" fontId="37" fillId="0" borderId="0" applyFill="0" applyBorder="0" applyAlignment="0"/>
    <xf numFmtId="176" fontId="37" fillId="0" borderId="0" applyFill="0" applyBorder="0" applyAlignment="0"/>
    <xf numFmtId="173" fontId="37" fillId="0" borderId="0" applyFill="0" applyBorder="0" applyAlignment="0"/>
    <xf numFmtId="0" fontId="42" fillId="29" borderId="9" applyNumberFormat="0" applyAlignment="0" applyProtection="0"/>
    <xf numFmtId="0" fontId="43" fillId="0" borderId="0"/>
    <xf numFmtId="0" fontId="44" fillId="0" borderId="0"/>
    <xf numFmtId="0" fontId="45" fillId="30" borderId="10" applyNumberFormat="0" applyAlignment="0" applyProtection="0"/>
    <xf numFmtId="175" fontId="37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39" fontId="11" fillId="0" borderId="0" applyFont="0" applyFill="0" applyBorder="0" applyAlignment="0" applyProtection="0"/>
    <xf numFmtId="3" fontId="46" fillId="0" borderId="0" applyFont="0" applyFill="0" applyBorder="0" applyAlignment="0" applyProtection="0"/>
    <xf numFmtId="0" fontId="47" fillId="0" borderId="0"/>
    <xf numFmtId="0" fontId="37" fillId="0" borderId="0"/>
    <xf numFmtId="0" fontId="47" fillId="0" borderId="0"/>
    <xf numFmtId="0" fontId="37" fillId="0" borderId="0"/>
    <xf numFmtId="173" fontId="37" fillId="0" borderId="0" applyFont="0" applyFill="0" applyBorder="0" applyAlignment="0" applyProtection="0"/>
    <xf numFmtId="180" fontId="41" fillId="0" borderId="0" applyFont="0" applyFill="0" applyBorder="0" applyAlignment="0" applyProtection="0"/>
    <xf numFmtId="181" fontId="46" fillId="0" borderId="0" applyFont="0" applyFill="0" applyBorder="0" applyAlignment="0" applyProtection="0"/>
    <xf numFmtId="0" fontId="11" fillId="0" borderId="0" applyFont="0" applyFill="0" applyBorder="0" applyAlignment="0" applyProtection="0"/>
    <xf numFmtId="15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37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0" fontId="46" fillId="0" borderId="0" applyFont="0" applyFill="0" applyBorder="0" applyAlignment="0" applyProtection="0"/>
    <xf numFmtId="14" fontId="23" fillId="0" borderId="0" applyFill="0" applyBorder="0" applyAlignment="0"/>
    <xf numFmtId="15" fontId="48" fillId="0" borderId="0" applyFont="0" applyFill="0" applyBorder="0" applyAlignment="0">
      <alignment horizontal="left"/>
    </xf>
    <xf numFmtId="49" fontId="49" fillId="2" borderId="11">
      <alignment vertical="center" wrapText="1"/>
    </xf>
    <xf numFmtId="0" fontId="50" fillId="0" borderId="0">
      <protection locked="0"/>
    </xf>
    <xf numFmtId="0" fontId="11" fillId="0" borderId="0"/>
    <xf numFmtId="0" fontId="51" fillId="0" borderId="0">
      <protection locked="0"/>
    </xf>
    <xf numFmtId="0" fontId="51" fillId="0" borderId="0">
      <protection locked="0"/>
    </xf>
    <xf numFmtId="175" fontId="37" fillId="0" borderId="0" applyFill="0" applyBorder="0" applyAlignment="0"/>
    <xf numFmtId="173" fontId="37" fillId="0" borderId="0" applyFill="0" applyBorder="0" applyAlignment="0"/>
    <xf numFmtId="175" fontId="37" fillId="0" borderId="0" applyFill="0" applyBorder="0" applyAlignment="0"/>
    <xf numFmtId="176" fontId="37" fillId="0" borderId="0" applyFill="0" applyBorder="0" applyAlignment="0"/>
    <xf numFmtId="173" fontId="37" fillId="0" borderId="0" applyFill="0" applyBorder="0" applyAlignment="0"/>
    <xf numFmtId="3" fontId="52" fillId="0" borderId="0" applyNumberFormat="0" applyFill="0" applyBorder="0" applyProtection="0">
      <protection locked="0"/>
    </xf>
    <xf numFmtId="0" fontId="23" fillId="0" borderId="0">
      <alignment vertical="top"/>
    </xf>
    <xf numFmtId="193" fontId="1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3" fontId="11" fillId="0" borderId="0" applyFont="0" applyFill="0" applyAlignment="0" applyProtection="0"/>
    <xf numFmtId="0" fontId="50" fillId="0" borderId="0">
      <protection locked="0"/>
    </xf>
    <xf numFmtId="3" fontId="11" fillId="0" borderId="0" applyFont="0" applyFill="0" applyBorder="0" applyAlignment="0" applyProtection="0"/>
    <xf numFmtId="2" fontId="46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13" borderId="0" applyNumberFormat="0" applyBorder="0" applyAlignment="0" applyProtection="0"/>
    <xf numFmtId="38" fontId="49" fillId="4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194" fontId="56" fillId="0" borderId="0" applyNumberFormat="0" applyFill="0" applyBorder="0" applyProtection="0">
      <alignment horizontal="right"/>
    </xf>
    <xf numFmtId="0" fontId="57" fillId="0" borderId="12" applyNumberFormat="0" applyAlignment="0" applyProtection="0">
      <alignment horizontal="left" vertical="center"/>
    </xf>
    <xf numFmtId="0" fontId="57" fillId="0" borderId="13">
      <alignment horizontal="left" vertical="center"/>
    </xf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4" applyNumberFormat="0" applyFill="0" applyAlignment="0" applyProtection="0"/>
    <xf numFmtId="0" fontId="60" fillId="0" borderId="0" applyNumberFormat="0" applyFill="0" applyBorder="0" applyAlignment="0" applyProtection="0"/>
    <xf numFmtId="195" fontId="6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62" fillId="16" borderId="9" applyNumberFormat="0" applyAlignment="0" applyProtection="0"/>
    <xf numFmtId="10" fontId="49" fillId="31" borderId="11" applyNumberFormat="0" applyBorder="0" applyAlignment="0" applyProtection="0"/>
    <xf numFmtId="173" fontId="63" fillId="32" borderId="0"/>
    <xf numFmtId="0" fontId="62" fillId="16" borderId="9" applyNumberFormat="0" applyAlignment="0" applyProtection="0"/>
    <xf numFmtId="0" fontId="64" fillId="0" borderId="0"/>
    <xf numFmtId="196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38" fontId="65" fillId="33" borderId="11" applyNumberFormat="0" applyFont="0" applyAlignment="0" applyProtection="0"/>
    <xf numFmtId="175" fontId="37" fillId="0" borderId="0" applyFill="0" applyBorder="0" applyAlignment="0"/>
    <xf numFmtId="173" fontId="37" fillId="0" borderId="0" applyFill="0" applyBorder="0" applyAlignment="0"/>
    <xf numFmtId="175" fontId="37" fillId="0" borderId="0" applyFill="0" applyBorder="0" applyAlignment="0"/>
    <xf numFmtId="176" fontId="37" fillId="0" borderId="0" applyFill="0" applyBorder="0" applyAlignment="0"/>
    <xf numFmtId="173" fontId="37" fillId="0" borderId="0" applyFill="0" applyBorder="0" applyAlignment="0"/>
    <xf numFmtId="0" fontId="66" fillId="0" borderId="15" applyNumberFormat="0" applyFill="0" applyAlignment="0" applyProtection="0"/>
    <xf numFmtId="173" fontId="11" fillId="34" borderId="0"/>
    <xf numFmtId="0" fontId="11" fillId="35" borderId="0" applyNumberFormat="0" applyFont="0" applyAlignment="0"/>
    <xf numFmtId="0" fontId="11" fillId="36" borderId="16" applyNumberFormat="0" applyFont="0" applyAlignment="0"/>
    <xf numFmtId="40" fontId="67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8" fillId="0" borderId="0" applyFont="0" applyFill="0" applyBorder="0" applyAlignment="0" applyProtection="0"/>
    <xf numFmtId="198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200" fontId="41" fillId="0" borderId="0" applyFont="0" applyFill="0" applyBorder="0" applyAlignment="0" applyProtection="0"/>
    <xf numFmtId="0" fontId="69" fillId="0" borderId="1"/>
    <xf numFmtId="0" fontId="50" fillId="0" borderId="0">
      <protection locked="0"/>
    </xf>
    <xf numFmtId="201" fontId="11" fillId="0" borderId="17" applyBorder="0" applyAlignment="0" applyProtection="0">
      <alignment horizontal="center"/>
    </xf>
    <xf numFmtId="37" fontId="70" fillId="0" borderId="0"/>
    <xf numFmtId="202" fontId="71" fillId="0" borderId="0"/>
    <xf numFmtId="0" fontId="11" fillId="0" borderId="0"/>
    <xf numFmtId="0" fontId="68" fillId="0" borderId="0"/>
    <xf numFmtId="0" fontId="11" fillId="0" borderId="0"/>
    <xf numFmtId="38" fontId="41" fillId="0" borderId="0" applyNumberFormat="0" applyFill="0" applyBorder="0" applyAlignment="0" applyProtection="0"/>
    <xf numFmtId="0" fontId="11" fillId="0" borderId="0" applyProtection="0"/>
    <xf numFmtId="0" fontId="72" fillId="0" borderId="0"/>
    <xf numFmtId="0" fontId="11" fillId="37" borderId="18" applyNumberFormat="0" applyFont="0" applyAlignment="0" applyProtection="0"/>
    <xf numFmtId="185" fontId="73" fillId="2" borderId="3" applyFont="0" applyFill="0" applyBorder="0" applyAlignment="0">
      <alignment wrapText="1"/>
    </xf>
    <xf numFmtId="0" fontId="74" fillId="0" borderId="0" applyNumberFormat="0" applyAlignment="0">
      <alignment vertical="top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03" fontId="64" fillId="0" borderId="11" applyFill="0" applyBorder="0" applyAlignment="0" applyProtection="0"/>
    <xf numFmtId="0" fontId="75" fillId="29" borderId="19" applyNumberFormat="0" applyAlignment="0" applyProtection="0"/>
    <xf numFmtId="14" fontId="39" fillId="0" borderId="0">
      <alignment horizontal="center" wrapText="1"/>
      <protection locked="0"/>
    </xf>
    <xf numFmtId="19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76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1" fillId="0" borderId="0" applyFont="0" applyFill="0" applyBorder="0" applyAlignment="0" applyProtection="0"/>
    <xf numFmtId="175" fontId="37" fillId="0" borderId="0" applyFill="0" applyBorder="0" applyAlignment="0"/>
    <xf numFmtId="173" fontId="37" fillId="0" borderId="0" applyFill="0" applyBorder="0" applyAlignment="0"/>
    <xf numFmtId="175" fontId="37" fillId="0" borderId="0" applyFill="0" applyBorder="0" applyAlignment="0"/>
    <xf numFmtId="176" fontId="37" fillId="0" borderId="0" applyFill="0" applyBorder="0" applyAlignment="0"/>
    <xf numFmtId="173" fontId="37" fillId="0" borderId="0" applyFill="0" applyBorder="0" applyAlignment="0"/>
    <xf numFmtId="204" fontId="48" fillId="2" borderId="11">
      <alignment vertical="center"/>
    </xf>
    <xf numFmtId="170" fontId="77" fillId="0" borderId="0" applyNumberFormat="0" applyFill="0" applyBorder="0" applyProtection="0">
      <alignment horizontal="left" indent="2"/>
    </xf>
    <xf numFmtId="0" fontId="67" fillId="0" borderId="0" applyNumberFormat="0" applyFont="0" applyFill="0" applyBorder="0" applyAlignment="0" applyProtection="0">
      <alignment horizontal="left"/>
    </xf>
    <xf numFmtId="15" fontId="67" fillId="0" borderId="0" applyFont="0" applyFill="0" applyBorder="0" applyAlignment="0" applyProtection="0"/>
    <xf numFmtId="4" fontId="67" fillId="0" borderId="0" applyFont="0" applyFill="0" applyBorder="0" applyAlignment="0" applyProtection="0"/>
    <xf numFmtId="0" fontId="78" fillId="0" borderId="1">
      <alignment horizontal="center"/>
    </xf>
    <xf numFmtId="3" fontId="67" fillId="0" borderId="0" applyFont="0" applyFill="0" applyBorder="0" applyAlignment="0" applyProtection="0"/>
    <xf numFmtId="0" fontId="67" fillId="38" borderId="0" applyNumberFormat="0" applyFont="0" applyBorder="0" applyAlignment="0" applyProtection="0"/>
    <xf numFmtId="49" fontId="48" fillId="0" borderId="0">
      <alignment horizontal="right"/>
    </xf>
    <xf numFmtId="38" fontId="79" fillId="0" borderId="0"/>
    <xf numFmtId="0" fontId="80" fillId="0" borderId="0"/>
    <xf numFmtId="3" fontId="49" fillId="0" borderId="0"/>
    <xf numFmtId="0" fontId="30" fillId="0" borderId="0"/>
    <xf numFmtId="0" fontId="69" fillId="0" borderId="0"/>
    <xf numFmtId="185" fontId="11" fillId="0" borderId="20" applyNumberFormat="0" applyFont="0"/>
    <xf numFmtId="0" fontId="35" fillId="0" borderId="0" applyNumberFormat="0"/>
    <xf numFmtId="185" fontId="81" fillId="0" borderId="0" applyNumberFormat="0">
      <alignment horizontal="centerContinuous"/>
    </xf>
    <xf numFmtId="185" fontId="11" fillId="0" borderId="0" applyNumberFormat="0" applyAlignment="0"/>
    <xf numFmtId="185" fontId="35" fillId="0" borderId="0">
      <alignment horizontal="centerContinuous"/>
    </xf>
    <xf numFmtId="0" fontId="82" fillId="0" borderId="0"/>
    <xf numFmtId="49" fontId="23" fillId="0" borderId="0" applyFill="0" applyBorder="0" applyAlignment="0"/>
    <xf numFmtId="0" fontId="11" fillId="0" borderId="0" applyFill="0" applyBorder="0" applyAlignment="0"/>
    <xf numFmtId="0" fontId="83" fillId="0" borderId="0" applyFill="0" applyBorder="0" applyAlignment="0"/>
    <xf numFmtId="205" fontId="41" fillId="0" borderId="0" applyFont="0" applyFill="0" applyBorder="0" applyAlignment="0" applyProtection="0"/>
    <xf numFmtId="206" fontId="41" fillId="0" borderId="0" applyFont="0" applyFill="0" applyBorder="0" applyAlignment="0" applyProtection="0"/>
    <xf numFmtId="0" fontId="84" fillId="0" borderId="0" applyNumberFormat="0" applyFill="0" applyBorder="0" applyAlignment="0" applyProtection="0"/>
    <xf numFmtId="3" fontId="85" fillId="0" borderId="0"/>
    <xf numFmtId="0" fontId="35" fillId="0" borderId="21">
      <alignment horizontal="right" wrapText="1"/>
    </xf>
    <xf numFmtId="0" fontId="35" fillId="0" borderId="22" applyNumberFormat="0"/>
    <xf numFmtId="185" fontId="11" fillId="0" borderId="0" applyNumberFormat="0" applyFill="0" applyBorder="0" applyAlignment="0" applyProtection="0"/>
    <xf numFmtId="207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11" fillId="0" borderId="0"/>
    <xf numFmtId="0" fontId="11" fillId="0" borderId="0"/>
    <xf numFmtId="0" fontId="91" fillId="0" borderId="0"/>
    <xf numFmtId="179" fontId="9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2" fillId="0" borderId="0" applyFont="0" applyFill="0" applyBorder="0" applyAlignment="0" applyProtection="0">
      <alignment horizontal="right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76" fillId="0" borderId="0" applyFont="0" applyFill="0" applyBorder="0" applyAlignment="0" applyProtection="0">
      <alignment horizontal="right"/>
    </xf>
    <xf numFmtId="211" fontId="91" fillId="0" borderId="0" applyFont="0" applyFill="0" applyBorder="0" applyAlignment="0" applyProtection="0"/>
    <xf numFmtId="40" fontId="93" fillId="0" borderId="0" applyFont="0" applyFill="0" applyBorder="0" applyAlignment="0" applyProtection="0"/>
    <xf numFmtId="38" fontId="93" fillId="0" borderId="0" applyFont="0" applyFill="0" applyBorder="0" applyAlignment="0" applyProtection="0"/>
    <xf numFmtId="0" fontId="94" fillId="0" borderId="0"/>
    <xf numFmtId="37" fontId="95" fillId="0" borderId="0"/>
    <xf numFmtId="37" fontId="96" fillId="0" borderId="0"/>
    <xf numFmtId="37" fontId="97" fillId="0" borderId="0"/>
    <xf numFmtId="0" fontId="67" fillId="0" borderId="0"/>
    <xf numFmtId="37" fontId="98" fillId="2" borderId="49" applyBorder="0" applyProtection="0">
      <alignment vertical="center"/>
    </xf>
    <xf numFmtId="0" fontId="99" fillId="0" borderId="0" applyNumberFormat="0"/>
    <xf numFmtId="0" fontId="100" fillId="0" borderId="3"/>
    <xf numFmtId="0" fontId="101" fillId="0" borderId="0" applyNumberFormat="0"/>
    <xf numFmtId="37" fontId="102" fillId="0" borderId="1" applyNumberFormat="0" applyFont="0" applyFill="0" applyAlignment="0" applyProtection="0"/>
    <xf numFmtId="37" fontId="102" fillId="0" borderId="7" applyNumberFormat="0" applyFont="0" applyFill="0" applyAlignment="0" applyProtection="0"/>
    <xf numFmtId="179" fontId="11" fillId="0" borderId="0" applyFont="0" applyFill="0" applyBorder="0" applyAlignment="0" applyProtection="0"/>
    <xf numFmtId="212" fontId="89" fillId="0" borderId="0" applyFont="0" applyFill="0" applyBorder="0" applyAlignment="0" applyProtection="0"/>
    <xf numFmtId="37" fontId="44" fillId="0" borderId="0" applyNumberFormat="0" applyFill="0" applyBorder="0" applyAlignment="0" applyProtection="0"/>
    <xf numFmtId="37" fontId="102" fillId="0" borderId="0" applyNumberFormat="0" applyFill="0" applyBorder="0" applyAlignment="0" applyProtection="0"/>
    <xf numFmtId="213" fontId="91" fillId="0" borderId="0" applyFont="0" applyFill="0" applyBorder="0" applyAlignment="0" applyProtection="0"/>
    <xf numFmtId="214" fontId="91" fillId="0" borderId="0" applyFont="0" applyFill="0" applyBorder="0" applyAlignment="0" applyProtection="0"/>
    <xf numFmtId="4" fontId="23" fillId="2" borderId="0">
      <alignment horizontal="right"/>
    </xf>
    <xf numFmtId="0" fontId="103" fillId="2" borderId="0">
      <alignment horizontal="center" vertical="center"/>
    </xf>
    <xf numFmtId="0" fontId="22" fillId="2" borderId="0"/>
    <xf numFmtId="0" fontId="103" fillId="2" borderId="0" applyBorder="0">
      <alignment horizontal="centerContinuous"/>
    </xf>
    <xf numFmtId="0" fontId="104" fillId="2" borderId="0" applyBorder="0">
      <alignment horizontal="centerContinuous"/>
    </xf>
    <xf numFmtId="0" fontId="92" fillId="0" borderId="0" applyFont="0" applyFill="0" applyBorder="0" applyAlignment="0" applyProtection="0"/>
    <xf numFmtId="9" fontId="64" fillId="0" borderId="0" applyFont="0" applyFill="0" applyBorder="0" applyAlignment="0" applyProtection="0"/>
    <xf numFmtId="37" fontId="105" fillId="0" borderId="0" applyNumberFormat="0" applyFill="0" applyBorder="0" applyAlignment="0" applyProtection="0"/>
    <xf numFmtId="215" fontId="91" fillId="0" borderId="0" applyFont="0" applyFill="0" applyBorder="0" applyAlignment="0" applyProtection="0"/>
    <xf numFmtId="212" fontId="91" fillId="0" borderId="0" applyFont="0" applyFill="0" applyBorder="0" applyAlignment="0" applyProtection="0"/>
    <xf numFmtId="0" fontId="11" fillId="0" borderId="0"/>
    <xf numFmtId="216" fontId="106" fillId="0" borderId="0" applyFont="0" applyFill="0" applyBorder="0" applyAlignment="0" applyProtection="0"/>
    <xf numFmtId="179" fontId="106" fillId="0" borderId="0" applyFont="0" applyFill="0" applyBorder="0" applyAlignment="0" applyProtection="0"/>
    <xf numFmtId="217" fontId="106" fillId="0" borderId="0" applyFont="0" applyFill="0" applyBorder="0" applyAlignment="0" applyProtection="0"/>
    <xf numFmtId="218" fontId="106" fillId="0" borderId="0" applyFont="0" applyFill="0" applyBorder="0" applyAlignment="0" applyProtection="0"/>
    <xf numFmtId="0" fontId="9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1" fillId="0" borderId="0"/>
    <xf numFmtId="0" fontId="11" fillId="0" borderId="0"/>
    <xf numFmtId="3" fontId="107" fillId="0" borderId="0" applyFont="0" applyFill="0" applyBorder="0" applyAlignment="0" applyProtection="0"/>
    <xf numFmtId="3" fontId="107" fillId="0" borderId="0" applyFont="0" applyFill="0" applyBorder="0" applyAlignment="0" applyProtection="0"/>
    <xf numFmtId="3" fontId="107" fillId="0" borderId="0" applyFont="0" applyFill="0" applyBorder="0" applyAlignment="0" applyProtection="0"/>
    <xf numFmtId="3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2" fontId="107" fillId="0" borderId="0" applyFont="0" applyFill="0" applyBorder="0" applyAlignment="0" applyProtection="0"/>
    <xf numFmtId="2" fontId="107" fillId="0" borderId="0" applyFont="0" applyFill="0" applyBorder="0" applyAlignment="0" applyProtection="0"/>
    <xf numFmtId="2" fontId="107" fillId="0" borderId="0" applyFont="0" applyFill="0" applyBorder="0" applyAlignment="0" applyProtection="0"/>
    <xf numFmtId="2" fontId="107" fillId="0" borderId="0" applyFont="0" applyFill="0" applyBorder="0" applyAlignment="0" applyProtection="0"/>
    <xf numFmtId="38" fontId="49" fillId="4" borderId="0" applyNumberFormat="0" applyBorder="0" applyAlignment="0" applyProtection="0"/>
    <xf numFmtId="38" fontId="49" fillId="4" borderId="0" applyNumberFormat="0" applyBorder="0" applyAlignment="0" applyProtection="0"/>
    <xf numFmtId="38" fontId="49" fillId="4" borderId="0" applyNumberFormat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10" fontId="49" fillId="31" borderId="11" applyNumberFormat="0" applyBorder="0" applyAlignment="0" applyProtection="0"/>
    <xf numFmtId="10" fontId="49" fillId="31" borderId="11" applyNumberFormat="0" applyBorder="0" applyAlignment="0" applyProtection="0"/>
    <xf numFmtId="10" fontId="49" fillId="31" borderId="11" applyNumberFormat="0" applyBorder="0" applyAlignment="0" applyProtection="0"/>
    <xf numFmtId="37" fontId="70" fillId="0" borderId="0"/>
    <xf numFmtId="37" fontId="70" fillId="0" borderId="0"/>
    <xf numFmtId="37" fontId="70" fillId="0" borderId="0"/>
    <xf numFmtId="37" fontId="70" fillId="0" borderId="0"/>
    <xf numFmtId="37" fontId="70" fillId="0" borderId="0"/>
    <xf numFmtId="219" fontId="11" fillId="0" borderId="0"/>
    <xf numFmtId="219" fontId="11" fillId="0" borderId="0"/>
    <xf numFmtId="219" fontId="11" fillId="0" borderId="0"/>
    <xf numFmtId="219" fontId="11" fillId="0" borderId="0"/>
    <xf numFmtId="219" fontId="11" fillId="0" borderId="0"/>
    <xf numFmtId="4" fontId="23" fillId="2" borderId="0">
      <alignment horizontal="right"/>
    </xf>
    <xf numFmtId="4" fontId="23" fillId="2" borderId="0">
      <alignment horizontal="right"/>
    </xf>
    <xf numFmtId="4" fontId="23" fillId="2" borderId="0">
      <alignment horizontal="right"/>
    </xf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07" fillId="0" borderId="50" applyNumberFormat="0" applyFont="0" applyFill="0" applyAlignment="0" applyProtection="0"/>
    <xf numFmtId="0" fontId="107" fillId="0" borderId="50" applyNumberFormat="0" applyFont="0" applyFill="0" applyAlignment="0" applyProtection="0"/>
    <xf numFmtId="0" fontId="107" fillId="0" borderId="50" applyNumberFormat="0" applyFont="0" applyFill="0" applyAlignment="0" applyProtection="0"/>
    <xf numFmtId="0" fontId="107" fillId="0" borderId="50" applyNumberFormat="0" applyFont="0" applyFill="0" applyAlignment="0" applyProtection="0"/>
    <xf numFmtId="0" fontId="111" fillId="0" borderId="0" applyNumberFormat="0" applyFill="0" applyBorder="0" applyAlignment="0" applyProtection="0">
      <alignment vertical="top"/>
      <protection locked="0"/>
    </xf>
    <xf numFmtId="0" fontId="113" fillId="0" borderId="0"/>
    <xf numFmtId="9" fontId="113" fillId="0" borderId="0" applyFont="0" applyFill="0" applyBorder="0" applyAlignment="0" applyProtection="0"/>
    <xf numFmtId="9" fontId="113" fillId="0" borderId="0" applyFont="0" applyFill="0" applyBorder="0" applyAlignment="0" applyProtection="0"/>
  </cellStyleXfs>
  <cellXfs count="392">
    <xf numFmtId="0" fontId="0" fillId="0" borderId="0" xfId="0"/>
    <xf numFmtId="17" fontId="12" fillId="2" borderId="1" xfId="1" applyNumberFormat="1" applyFont="1" applyFill="1" applyBorder="1" applyAlignment="1">
      <alignment horizontal="center"/>
    </xf>
    <xf numFmtId="0" fontId="15" fillId="2" borderId="0" xfId="0" applyFont="1" applyFill="1"/>
    <xf numFmtId="0" fontId="16" fillId="2" borderId="2" xfId="0" applyFont="1" applyFill="1" applyBorder="1"/>
    <xf numFmtId="0" fontId="15" fillId="2" borderId="2" xfId="0" applyFont="1" applyFill="1" applyBorder="1"/>
    <xf numFmtId="3" fontId="15" fillId="2" borderId="0" xfId="0" applyNumberFormat="1" applyFont="1" applyFill="1"/>
    <xf numFmtId="3" fontId="14" fillId="2" borderId="0" xfId="0" applyNumberFormat="1" applyFont="1" applyFill="1"/>
    <xf numFmtId="3" fontId="14" fillId="2" borderId="2" xfId="0" applyNumberFormat="1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1" xfId="0" applyNumberFormat="1" applyFont="1" applyFill="1" applyBorder="1"/>
    <xf numFmtId="0" fontId="18" fillId="0" borderId="0" xfId="0" applyFont="1" applyAlignment="1">
      <alignment horizontal="center"/>
    </xf>
    <xf numFmtId="3" fontId="16" fillId="2" borderId="0" xfId="0" applyNumberFormat="1" applyFont="1" applyFill="1"/>
    <xf numFmtId="0" fontId="18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1" fontId="23" fillId="2" borderId="0" xfId="2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0" fontId="5" fillId="3" borderId="0" xfId="0" applyFont="1" applyFill="1"/>
    <xf numFmtId="0" fontId="20" fillId="3" borderId="0" xfId="0" applyFont="1" applyFill="1"/>
    <xf numFmtId="166" fontId="19" fillId="3" borderId="0" xfId="0" applyNumberFormat="1" applyFont="1" applyFill="1"/>
    <xf numFmtId="166" fontId="20" fillId="3" borderId="0" xfId="0" applyNumberFormat="1" applyFont="1" applyFill="1"/>
    <xf numFmtId="0" fontId="7" fillId="3" borderId="0" xfId="0" applyFont="1" applyFill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8" fillId="4" borderId="0" xfId="0" applyFont="1" applyFill="1"/>
    <xf numFmtId="0" fontId="5" fillId="4" borderId="0" xfId="0" applyFont="1" applyFill="1"/>
    <xf numFmtId="0" fontId="5" fillId="4" borderId="6" xfId="0" applyFont="1" applyFill="1" applyBorder="1"/>
    <xf numFmtId="10" fontId="5" fillId="4" borderId="0" xfId="3" applyNumberFormat="1" applyFont="1" applyFill="1"/>
    <xf numFmtId="0" fontId="3" fillId="4" borderId="0" xfId="0" applyFont="1" applyFill="1"/>
    <xf numFmtId="0" fontId="9" fillId="4" borderId="0" xfId="0" applyFont="1" applyFill="1"/>
    <xf numFmtId="0" fontId="15" fillId="0" borderId="0" xfId="0" applyFont="1" applyAlignment="1">
      <alignment horizontal="center"/>
    </xf>
    <xf numFmtId="0" fontId="0" fillId="0" borderId="0" xfId="0" applyAlignment="1">
      <alignment vertical="center"/>
    </xf>
    <xf numFmtId="10" fontId="27" fillId="0" borderId="0" xfId="3" applyNumberFormat="1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166" fontId="26" fillId="6" borderId="8" xfId="0" applyNumberFormat="1" applyFont="1" applyFill="1" applyBorder="1" applyAlignment="1">
      <alignment vertical="center"/>
    </xf>
    <xf numFmtId="0" fontId="0" fillId="8" borderId="0" xfId="0" applyFill="1" applyAlignment="1">
      <alignment horizontal="center" vertical="center" wrapText="1"/>
    </xf>
    <xf numFmtId="2" fontId="0" fillId="0" borderId="0" xfId="0" applyNumberFormat="1"/>
    <xf numFmtId="4" fontId="0" fillId="0" borderId="0" xfId="0" applyNumberFormat="1"/>
    <xf numFmtId="0" fontId="4" fillId="9" borderId="0" xfId="4" applyNumberFormat="1" applyFont="1" applyFill="1" applyAlignment="1">
      <alignment horizontal="center"/>
    </xf>
    <xf numFmtId="166" fontId="4" fillId="9" borderId="0" xfId="4" applyNumberFormat="1" applyFont="1" applyFill="1"/>
    <xf numFmtId="0" fontId="0" fillId="0" borderId="8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33" xfId="0" applyFill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3" fontId="0" fillId="0" borderId="0" xfId="0" applyNumberFormat="1"/>
    <xf numFmtId="10" fontId="0" fillId="0" borderId="0" xfId="3" applyNumberFormat="1" applyFont="1"/>
    <xf numFmtId="0" fontId="3" fillId="0" borderId="0" xfId="0" applyFont="1" applyFill="1"/>
    <xf numFmtId="0" fontId="88" fillId="5" borderId="0" xfId="0" applyFont="1" applyFill="1"/>
    <xf numFmtId="43" fontId="0" fillId="0" borderId="0" xfId="2" applyFont="1"/>
    <xf numFmtId="210" fontId="0" fillId="0" borderId="0" xfId="2" applyNumberFormat="1" applyFont="1"/>
    <xf numFmtId="0" fontId="87" fillId="39" borderId="27" xfId="0" applyFont="1" applyFill="1" applyBorder="1" applyAlignment="1">
      <alignment horizontal="center" vertical="center"/>
    </xf>
    <xf numFmtId="0" fontId="87" fillId="39" borderId="28" xfId="0" applyFont="1" applyFill="1" applyBorder="1" applyAlignment="1">
      <alignment horizontal="center" vertical="center"/>
    </xf>
    <xf numFmtId="0" fontId="0" fillId="39" borderId="24" xfId="0" applyFill="1" applyBorder="1" applyAlignment="1">
      <alignment horizontal="center" wrapText="1"/>
    </xf>
    <xf numFmtId="0" fontId="0" fillId="39" borderId="24" xfId="0" applyFill="1" applyBorder="1" applyAlignment="1">
      <alignment horizontal="center" vertical="center" wrapText="1"/>
    </xf>
    <xf numFmtId="0" fontId="0" fillId="39" borderId="25" xfId="0" applyFill="1" applyBorder="1" applyAlignment="1">
      <alignment horizontal="center" vertical="center" wrapText="1"/>
    </xf>
    <xf numFmtId="0" fontId="0" fillId="39" borderId="27" xfId="0" applyFill="1" applyBorder="1" applyAlignment="1">
      <alignment horizontal="center" vertical="center" wrapText="1"/>
    </xf>
    <xf numFmtId="0" fontId="0" fillId="39" borderId="28" xfId="0" applyFill="1" applyBorder="1" applyAlignment="1">
      <alignment horizontal="center" vertical="center" wrapText="1"/>
    </xf>
    <xf numFmtId="0" fontId="0" fillId="39" borderId="11" xfId="0" applyFill="1" applyBorder="1" applyAlignment="1">
      <alignment horizontal="center" vertical="center" wrapText="1"/>
    </xf>
    <xf numFmtId="0" fontId="0" fillId="39" borderId="42" xfId="0" applyFill="1" applyBorder="1" applyAlignment="1">
      <alignment horizontal="center" vertical="center" wrapText="1"/>
    </xf>
    <xf numFmtId="0" fontId="0" fillId="39" borderId="44" xfId="0" applyFill="1" applyBorder="1" applyAlignment="1">
      <alignment horizontal="center" vertical="center" wrapText="1"/>
    </xf>
    <xf numFmtId="0" fontId="0" fillId="39" borderId="45" xfId="0" applyFill="1" applyBorder="1" applyAlignment="1">
      <alignment horizontal="center" vertical="center" wrapText="1"/>
    </xf>
    <xf numFmtId="4" fontId="15" fillId="2" borderId="0" xfId="0" applyNumberFormat="1" applyFont="1" applyFill="1"/>
    <xf numFmtId="0" fontId="87" fillId="0" borderId="0" xfId="1" applyFont="1" applyAlignment="1"/>
    <xf numFmtId="0" fontId="87" fillId="0" borderId="0" xfId="1" applyFont="1" applyAlignment="1">
      <alignment horizontal="left"/>
    </xf>
    <xf numFmtId="0" fontId="90" fillId="0" borderId="0" xfId="1" applyNumberFormat="1" applyFont="1" applyFill="1" applyBorder="1" applyAlignment="1" applyProtection="1"/>
    <xf numFmtId="0" fontId="87" fillId="4" borderId="11" xfId="1" applyFont="1" applyFill="1" applyBorder="1" applyAlignment="1">
      <alignment horizontal="center" vertical="center"/>
    </xf>
    <xf numFmtId="0" fontId="11" fillId="0" borderId="46" xfId="1" applyFont="1" applyBorder="1"/>
    <xf numFmtId="164" fontId="11" fillId="0" borderId="11" xfId="287" applyNumberFormat="1" applyFont="1" applyFill="1" applyBorder="1" applyAlignment="1">
      <alignment horizontal="center"/>
    </xf>
    <xf numFmtId="164" fontId="87" fillId="0" borderId="48" xfId="1" applyNumberFormat="1" applyFont="1" applyFill="1" applyBorder="1" applyAlignment="1">
      <alignment horizontal="center"/>
    </xf>
    <xf numFmtId="164" fontId="23" fillId="0" borderId="11" xfId="287" applyNumberFormat="1" applyFont="1" applyFill="1" applyBorder="1" applyAlignment="1">
      <alignment horizontal="center"/>
    </xf>
    <xf numFmtId="0" fontId="23" fillId="0" borderId="11" xfId="287" applyNumberFormat="1" applyFont="1" applyFill="1" applyBorder="1" applyAlignment="1">
      <alignment horizontal="center"/>
    </xf>
    <xf numFmtId="0" fontId="87" fillId="0" borderId="48" xfId="1" applyNumberFormat="1" applyFont="1" applyFill="1" applyBorder="1" applyAlignment="1">
      <alignment horizontal="center"/>
    </xf>
    <xf numFmtId="0" fontId="87" fillId="0" borderId="26" xfId="1" applyFont="1" applyBorder="1" applyAlignment="1">
      <alignment horizontal="center"/>
    </xf>
    <xf numFmtId="164" fontId="87" fillId="0" borderId="27" xfId="287" applyNumberFormat="1" applyFont="1" applyBorder="1" applyAlignment="1">
      <alignment horizontal="center"/>
    </xf>
    <xf numFmtId="164" fontId="87" fillId="0" borderId="28" xfId="287" applyNumberFormat="1" applyFont="1" applyFill="1" applyBorder="1" applyAlignment="1">
      <alignment horizontal="center"/>
    </xf>
    <xf numFmtId="0" fontId="87" fillId="0" borderId="0" xfId="1" applyFont="1" applyBorder="1" applyAlignment="1">
      <alignment horizontal="center"/>
    </xf>
    <xf numFmtId="0" fontId="11" fillId="0" borderId="0" xfId="1" applyNumberFormat="1" applyFont="1" applyBorder="1"/>
    <xf numFmtId="0" fontId="11" fillId="0" borderId="0" xfId="1" applyNumberFormat="1" applyFont="1" applyFill="1" applyBorder="1"/>
    <xf numFmtId="0" fontId="91" fillId="0" borderId="0" xfId="1" applyFont="1"/>
    <xf numFmtId="0" fontId="91" fillId="0" borderId="0" xfId="286"/>
    <xf numFmtId="0" fontId="91" fillId="0" borderId="0" xfId="1" applyFont="1" applyAlignment="1"/>
    <xf numFmtId="3" fontId="0" fillId="0" borderId="0" xfId="1" applyNumberFormat="1" applyFont="1"/>
    <xf numFmtId="0" fontId="48" fillId="0" borderId="0" xfId="1" applyFont="1" applyFill="1" applyBorder="1"/>
    <xf numFmtId="164" fontId="87" fillId="0" borderId="28" xfId="287" applyNumberFormat="1" applyFont="1" applyBorder="1" applyAlignment="1">
      <alignment horizontal="center"/>
    </xf>
    <xf numFmtId="0" fontId="110" fillId="41" borderId="11" xfId="1" applyFont="1" applyFill="1" applyBorder="1" applyAlignment="1">
      <alignment horizontal="center" vertical="center"/>
    </xf>
    <xf numFmtId="164" fontId="91" fillId="0" borderId="0" xfId="1" applyNumberFormat="1" applyFont="1"/>
    <xf numFmtId="4" fontId="91" fillId="0" borderId="0" xfId="1" applyNumberFormat="1" applyFont="1"/>
    <xf numFmtId="0" fontId="110" fillId="42" borderId="11" xfId="1" applyFont="1" applyFill="1" applyBorder="1" applyAlignment="1">
      <alignment horizontal="center" vertical="center"/>
    </xf>
    <xf numFmtId="0" fontId="110" fillId="42" borderId="47" xfId="1" applyFont="1" applyFill="1" applyBorder="1" applyAlignment="1">
      <alignment horizontal="center" vertical="center"/>
    </xf>
    <xf numFmtId="17" fontId="110" fillId="42" borderId="51" xfId="1" applyNumberFormat="1" applyFont="1" applyFill="1" applyBorder="1" applyAlignment="1">
      <alignment horizontal="center" vertical="center"/>
    </xf>
    <xf numFmtId="43" fontId="91" fillId="0" borderId="0" xfId="1" applyNumberFormat="1" applyFont="1"/>
    <xf numFmtId="17" fontId="110" fillId="44" borderId="24" xfId="1" applyNumberFormat="1" applyFont="1" applyFill="1" applyBorder="1" applyAlignment="1">
      <alignment horizontal="center" vertical="center"/>
    </xf>
    <xf numFmtId="0" fontId="110" fillId="44" borderId="25" xfId="1" applyFont="1" applyFill="1" applyBorder="1" applyAlignment="1">
      <alignment horizontal="center" vertical="center"/>
    </xf>
    <xf numFmtId="17" fontId="110" fillId="44" borderId="23" xfId="1" applyNumberFormat="1" applyFont="1" applyFill="1" applyBorder="1" applyAlignment="1">
      <alignment horizontal="center" vertical="center"/>
    </xf>
    <xf numFmtId="0" fontId="87" fillId="0" borderId="26" xfId="1" applyFont="1" applyBorder="1" applyAlignment="1">
      <alignment horizontal="center" vertical="center"/>
    </xf>
    <xf numFmtId="0" fontId="11" fillId="0" borderId="46" xfId="1" applyFont="1" applyBorder="1" applyAlignment="1">
      <alignment vertical="center"/>
    </xf>
    <xf numFmtId="164" fontId="91" fillId="0" borderId="11" xfId="1" applyNumberFormat="1" applyFont="1" applyBorder="1" applyAlignment="1">
      <alignment vertical="center"/>
    </xf>
    <xf numFmtId="164" fontId="87" fillId="0" borderId="48" xfId="1" applyNumberFormat="1" applyFont="1" applyBorder="1" applyAlignment="1">
      <alignment vertical="center"/>
    </xf>
    <xf numFmtId="43" fontId="87" fillId="0" borderId="27" xfId="1" applyNumberFormat="1" applyFont="1" applyBorder="1" applyAlignment="1">
      <alignment vertical="center"/>
    </xf>
    <xf numFmtId="164" fontId="87" fillId="0" borderId="28" xfId="1" applyNumberFormat="1" applyFont="1" applyBorder="1" applyAlignment="1">
      <alignment vertical="center"/>
    </xf>
    <xf numFmtId="164" fontId="0" fillId="0" borderId="0" xfId="0" applyNumberFormat="1"/>
    <xf numFmtId="43" fontId="87" fillId="0" borderId="0" xfId="1" applyNumberFormat="1" applyFont="1" applyBorder="1" applyAlignment="1">
      <alignment vertical="center"/>
    </xf>
    <xf numFmtId="164" fontId="87" fillId="0" borderId="0" xfId="1" applyNumberFormat="1" applyFont="1" applyBorder="1" applyAlignment="1">
      <alignment vertical="center"/>
    </xf>
    <xf numFmtId="17" fontId="87" fillId="40" borderId="12" xfId="285" applyNumberFormat="1" applyFont="1" applyFill="1" applyBorder="1" applyAlignment="1">
      <alignment horizontal="center"/>
    </xf>
    <xf numFmtId="0" fontId="89" fillId="0" borderId="0" xfId="285" applyFont="1" applyFill="1" applyBorder="1" applyAlignment="1">
      <alignment horizontal="left"/>
    </xf>
    <xf numFmtId="164" fontId="112" fillId="0" borderId="0" xfId="213" applyNumberFormat="1" applyFont="1" applyFill="1" applyBorder="1" applyAlignment="1"/>
    <xf numFmtId="164" fontId="87" fillId="0" borderId="0" xfId="1" applyNumberFormat="1" applyFont="1" applyFill="1" applyBorder="1" applyAlignment="1">
      <alignment vertical="center"/>
    </xf>
    <xf numFmtId="17" fontId="110" fillId="45" borderId="24" xfId="1" applyNumberFormat="1" applyFont="1" applyFill="1" applyBorder="1" applyAlignment="1">
      <alignment horizontal="center" vertical="center"/>
    </xf>
    <xf numFmtId="0" fontId="110" fillId="45" borderId="25" xfId="1" applyFont="1" applyFill="1" applyBorder="1" applyAlignment="1">
      <alignment horizontal="center" vertical="center"/>
    </xf>
    <xf numFmtId="0" fontId="24" fillId="45" borderId="47" xfId="0" applyFont="1" applyFill="1" applyBorder="1"/>
    <xf numFmtId="17" fontId="110" fillId="41" borderId="24" xfId="1" applyNumberFormat="1" applyFont="1" applyFill="1" applyBorder="1" applyAlignment="1">
      <alignment horizontal="center" vertical="center"/>
    </xf>
    <xf numFmtId="0" fontId="110" fillId="41" borderId="25" xfId="1" applyFont="1" applyFill="1" applyBorder="1" applyAlignment="1">
      <alignment horizontal="center" vertical="center"/>
    </xf>
    <xf numFmtId="0" fontId="24" fillId="41" borderId="47" xfId="0" applyFont="1" applyFill="1" applyBorder="1" applyAlignment="1">
      <alignment vertical="center"/>
    </xf>
    <xf numFmtId="209" fontId="87" fillId="0" borderId="27" xfId="1" applyNumberFormat="1" applyFont="1" applyBorder="1" applyAlignment="1">
      <alignment vertical="center"/>
    </xf>
    <xf numFmtId="209" fontId="87" fillId="0" borderId="28" xfId="1" applyNumberFormat="1" applyFont="1" applyBorder="1" applyAlignment="1">
      <alignment vertical="center"/>
    </xf>
    <xf numFmtId="17" fontId="87" fillId="40" borderId="4" xfId="285" applyNumberFormat="1" applyFont="1" applyFill="1" applyBorder="1" applyAlignment="1"/>
    <xf numFmtId="17" fontId="87" fillId="43" borderId="24" xfId="1" applyNumberFormat="1" applyFont="1" applyFill="1" applyBorder="1" applyAlignment="1">
      <alignment horizontal="center" vertical="center"/>
    </xf>
    <xf numFmtId="17" fontId="87" fillId="43" borderId="23" xfId="1" applyNumberFormat="1" applyFont="1" applyFill="1" applyBorder="1" applyAlignment="1">
      <alignment horizontal="center" vertical="center"/>
    </xf>
    <xf numFmtId="17" fontId="87" fillId="43" borderId="25" xfId="1" applyNumberFormat="1" applyFont="1" applyFill="1" applyBorder="1" applyAlignment="1">
      <alignment horizontal="center" vertical="center"/>
    </xf>
    <xf numFmtId="0" fontId="0" fillId="0" borderId="52" xfId="0" applyBorder="1"/>
    <xf numFmtId="164" fontId="91" fillId="0" borderId="27" xfId="1" applyNumberFormat="1" applyFont="1" applyBorder="1" applyAlignment="1">
      <alignment vertical="center"/>
    </xf>
    <xf numFmtId="17" fontId="87" fillId="6" borderId="23" xfId="1" applyNumberFormat="1" applyFont="1" applyFill="1" applyBorder="1" applyAlignment="1">
      <alignment horizontal="center" vertical="center"/>
    </xf>
    <xf numFmtId="17" fontId="87" fillId="6" borderId="24" xfId="1" applyNumberFormat="1" applyFont="1" applyFill="1" applyBorder="1" applyAlignment="1">
      <alignment horizontal="center" vertical="center"/>
    </xf>
    <xf numFmtId="17" fontId="87" fillId="6" borderId="25" xfId="1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3" fillId="0" borderId="0" xfId="0" applyFont="1" applyFill="1"/>
    <xf numFmtId="0" fontId="3" fillId="0" borderId="0" xfId="0" applyFont="1" applyFill="1" applyBorder="1"/>
    <xf numFmtId="0" fontId="13" fillId="0" borderId="0" xfId="0" applyFont="1" applyFill="1" applyBorder="1" applyAlignment="1">
      <alignment horizontal="left" vertical="center" wrapText="1"/>
    </xf>
    <xf numFmtId="3" fontId="13" fillId="0" borderId="0" xfId="2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/>
    </xf>
    <xf numFmtId="3" fontId="13" fillId="0" borderId="3" xfId="2" applyNumberFormat="1" applyFont="1" applyFill="1" applyBorder="1" applyAlignment="1">
      <alignment horizontal="right" vertical="center" wrapText="1"/>
    </xf>
    <xf numFmtId="3" fontId="12" fillId="0" borderId="0" xfId="2" applyNumberFormat="1" applyFont="1" applyFill="1" applyBorder="1" applyAlignment="1">
      <alignment horizontal="right" vertical="center" wrapText="1"/>
    </xf>
    <xf numFmtId="0" fontId="13" fillId="0" borderId="0" xfId="0" applyFont="1" applyFill="1" applyBorder="1"/>
    <xf numFmtId="3" fontId="13" fillId="0" borderId="0" xfId="2" applyNumberFormat="1" applyFont="1" applyFill="1" applyBorder="1" applyAlignment="1">
      <alignment horizontal="left" vertical="center" wrapText="1"/>
    </xf>
    <xf numFmtId="0" fontId="3" fillId="0" borderId="3" xfId="0" applyFont="1" applyFill="1" applyBorder="1"/>
    <xf numFmtId="0" fontId="14" fillId="0" borderId="3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3" fontId="14" fillId="0" borderId="3" xfId="0" applyNumberFormat="1" applyFont="1" applyFill="1" applyBorder="1"/>
    <xf numFmtId="0" fontId="1" fillId="0" borderId="0" xfId="0" applyFont="1" applyFill="1" applyBorder="1"/>
    <xf numFmtId="0" fontId="21" fillId="7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vertical="center"/>
    </xf>
    <xf numFmtId="0" fontId="17" fillId="0" borderId="0" xfId="0" quotePrefix="1" applyFont="1" applyFill="1" applyAlignment="1" applyProtection="1"/>
    <xf numFmtId="3" fontId="3" fillId="0" borderId="0" xfId="0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0" fontId="2" fillId="0" borderId="0" xfId="0" applyFont="1" applyFill="1"/>
    <xf numFmtId="164" fontId="2" fillId="0" borderId="0" xfId="2" applyNumberFormat="1" applyFont="1" applyFill="1"/>
    <xf numFmtId="10" fontId="2" fillId="0" borderId="0" xfId="3" applyNumberFormat="1" applyFont="1" applyFill="1"/>
    <xf numFmtId="0" fontId="2" fillId="0" borderId="3" xfId="0" applyFont="1" applyFill="1" applyBorder="1"/>
    <xf numFmtId="164" fontId="2" fillId="0" borderId="3" xfId="2" applyNumberFormat="1" applyFont="1" applyFill="1" applyBorder="1"/>
    <xf numFmtId="10" fontId="2" fillId="0" borderId="3" xfId="3" applyNumberFormat="1" applyFont="1" applyFill="1" applyBorder="1"/>
    <xf numFmtId="9" fontId="2" fillId="0" borderId="0" xfId="3" applyFont="1" applyFill="1"/>
    <xf numFmtId="167" fontId="3" fillId="0" borderId="0" xfId="0" applyNumberFormat="1" applyFont="1" applyFill="1"/>
    <xf numFmtId="10" fontId="3" fillId="0" borderId="0" xfId="3" applyNumberFormat="1" applyFont="1" applyFill="1"/>
    <xf numFmtId="0" fontId="1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right" vertical="center"/>
    </xf>
    <xf numFmtId="164" fontId="1" fillId="0" borderId="0" xfId="0" applyNumberFormat="1" applyFont="1" applyFill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1" fillId="0" borderId="0" xfId="0" applyFont="1" applyFill="1"/>
    <xf numFmtId="43" fontId="3" fillId="0" borderId="0" xfId="0" applyNumberFormat="1" applyFont="1" applyFill="1"/>
    <xf numFmtId="0" fontId="5" fillId="0" borderId="0" xfId="0" applyFont="1" applyFill="1"/>
    <xf numFmtId="9" fontId="0" fillId="0" borderId="0" xfId="3" applyFont="1"/>
    <xf numFmtId="220" fontId="15" fillId="2" borderId="0" xfId="0" applyNumberFormat="1" applyFont="1" applyFill="1"/>
    <xf numFmtId="0" fontId="5" fillId="0" borderId="0" xfId="0" applyFont="1" applyFill="1" applyAlignment="1">
      <alignment vertical="center"/>
    </xf>
    <xf numFmtId="0" fontId="114" fillId="46" borderId="0" xfId="0" applyFont="1" applyFill="1" applyAlignment="1">
      <alignment vertical="center"/>
    </xf>
    <xf numFmtId="0" fontId="115" fillId="47" borderId="0" xfId="0" applyFont="1" applyFill="1" applyAlignment="1">
      <alignment vertical="center"/>
    </xf>
    <xf numFmtId="0" fontId="116" fillId="48" borderId="11" xfId="0" applyFont="1" applyFill="1" applyBorder="1" applyAlignment="1">
      <alignment horizontal="left" vertical="center" wrapText="1"/>
    </xf>
    <xf numFmtId="0" fontId="11" fillId="48" borderId="11" xfId="0" applyFont="1" applyFill="1" applyBorder="1" applyAlignment="1">
      <alignment horizontal="left" vertical="center" wrapText="1"/>
    </xf>
    <xf numFmtId="4" fontId="119" fillId="48" borderId="11" xfId="0" applyNumberFormat="1" applyFont="1" applyFill="1" applyBorder="1" applyAlignment="1">
      <alignment vertical="center"/>
    </xf>
    <xf numFmtId="4" fontId="121" fillId="49" borderId="11" xfId="0" applyNumberFormat="1" applyFont="1" applyFill="1" applyBorder="1" applyAlignment="1">
      <alignment vertical="center"/>
    </xf>
    <xf numFmtId="0" fontId="0" fillId="48" borderId="11" xfId="0" applyFill="1" applyBorder="1" applyAlignment="1">
      <alignment horizontal="right" vertical="center" wrapText="1"/>
    </xf>
    <xf numFmtId="3" fontId="121" fillId="49" borderId="11" xfId="0" applyNumberFormat="1" applyFont="1" applyFill="1" applyBorder="1" applyAlignment="1">
      <alignment vertical="center"/>
    </xf>
    <xf numFmtId="0" fontId="73" fillId="48" borderId="11" xfId="0" applyFont="1" applyFill="1" applyBorder="1" applyAlignment="1">
      <alignment horizontal="left" vertical="center" wrapText="1"/>
    </xf>
    <xf numFmtId="3" fontId="73" fillId="48" borderId="11" xfId="0" applyNumberFormat="1" applyFont="1" applyFill="1" applyBorder="1" applyAlignment="1">
      <alignment vertical="center" wrapText="1"/>
    </xf>
    <xf numFmtId="0" fontId="125" fillId="48" borderId="11" xfId="0" applyFont="1" applyFill="1" applyBorder="1" applyAlignment="1">
      <alignment horizontal="left" vertical="center" wrapText="1"/>
    </xf>
    <xf numFmtId="166" fontId="125" fillId="48" borderId="11" xfId="0" applyNumberFormat="1" applyFont="1" applyFill="1" applyBorder="1" applyAlignment="1">
      <alignment horizontal="right" vertical="center" wrapText="1"/>
    </xf>
    <xf numFmtId="165" fontId="125" fillId="48" borderId="11" xfId="0" applyNumberFormat="1" applyFont="1" applyFill="1" applyBorder="1" applyAlignment="1">
      <alignment horizontal="right" vertical="center" wrapText="1"/>
    </xf>
    <xf numFmtId="0" fontId="24" fillId="50" borderId="11" xfId="0" applyFont="1" applyFill="1" applyBorder="1" applyAlignment="1">
      <alignment horizontal="center" vertical="center"/>
    </xf>
    <xf numFmtId="0" fontId="0" fillId="48" borderId="11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0" fontId="2" fillId="0" borderId="0" xfId="3" applyNumberFormat="1" applyFont="1" applyFill="1" applyBorder="1"/>
    <xf numFmtId="4" fontId="3" fillId="0" borderId="0" xfId="0" applyNumberFormat="1" applyFont="1" applyFill="1"/>
    <xf numFmtId="10" fontId="0" fillId="0" borderId="0" xfId="3" applyNumberFormat="1" applyFont="1" applyAlignment="1">
      <alignment vertical="center"/>
    </xf>
    <xf numFmtId="164" fontId="3" fillId="0" borderId="0" xfId="0" applyNumberFormat="1" applyFont="1" applyFill="1"/>
    <xf numFmtId="2" fontId="3" fillId="0" borderId="0" xfId="0" applyNumberFormat="1" applyFont="1" applyFill="1"/>
    <xf numFmtId="2" fontId="3" fillId="2" borderId="0" xfId="0" applyNumberFormat="1" applyFont="1" applyFill="1" applyBorder="1"/>
    <xf numFmtId="4" fontId="1" fillId="2" borderId="0" xfId="0" applyNumberFormat="1" applyFont="1" applyFill="1" applyBorder="1"/>
    <xf numFmtId="4" fontId="7" fillId="2" borderId="0" xfId="0" applyNumberFormat="1" applyFont="1" applyFill="1" applyBorder="1" applyAlignment="1">
      <alignment horizontal="center"/>
    </xf>
    <xf numFmtId="209" fontId="5" fillId="0" borderId="0" xfId="0" applyNumberFormat="1" applyFont="1" applyFill="1" applyAlignment="1">
      <alignment vertical="center"/>
    </xf>
    <xf numFmtId="0" fontId="128" fillId="0" borderId="0" xfId="0" applyFont="1"/>
    <xf numFmtId="0" fontId="0" fillId="0" borderId="54" xfId="0" applyBorder="1"/>
    <xf numFmtId="3" fontId="0" fillId="0" borderId="42" xfId="0" applyNumberFormat="1" applyBorder="1"/>
    <xf numFmtId="3" fontId="0" fillId="0" borderId="37" xfId="0" applyNumberFormat="1" applyBorder="1"/>
    <xf numFmtId="3" fontId="0" fillId="0" borderId="55" xfId="0" applyNumberFormat="1" applyBorder="1"/>
    <xf numFmtId="0" fontId="129" fillId="0" borderId="11" xfId="0" applyFont="1" applyFill="1" applyBorder="1"/>
    <xf numFmtId="3" fontId="0" fillId="0" borderId="13" xfId="0" applyNumberFormat="1" applyBorder="1"/>
    <xf numFmtId="3" fontId="0" fillId="53" borderId="11" xfId="0" applyNumberFormat="1" applyFill="1" applyBorder="1"/>
    <xf numFmtId="0" fontId="128" fillId="51" borderId="0" xfId="0" applyFont="1" applyFill="1"/>
    <xf numFmtId="0" fontId="0" fillId="51" borderId="0" xfId="0" applyFill="1"/>
    <xf numFmtId="3" fontId="0" fillId="48" borderId="11" xfId="0" applyNumberFormat="1" applyFill="1" applyBorder="1"/>
    <xf numFmtId="4" fontId="0" fillId="0" borderId="11" xfId="0" applyNumberFormat="1" applyBorder="1"/>
    <xf numFmtId="209" fontId="3" fillId="0" borderId="0" xfId="0" applyNumberFormat="1" applyFont="1" applyFill="1"/>
    <xf numFmtId="9" fontId="0" fillId="0" borderId="0" xfId="0" applyNumberFormat="1"/>
    <xf numFmtId="221" fontId="130" fillId="49" borderId="11" xfId="2" applyNumberFormat="1" applyFont="1" applyFill="1" applyBorder="1" applyAlignment="1">
      <alignment vertical="center"/>
    </xf>
    <xf numFmtId="0" fontId="1" fillId="2" borderId="1" xfId="0" applyFont="1" applyFill="1" applyBorder="1"/>
    <xf numFmtId="17" fontId="110" fillId="39" borderId="24" xfId="1" applyNumberFormat="1" applyFont="1" applyFill="1" applyBorder="1" applyAlignment="1">
      <alignment horizontal="center" vertical="center"/>
    </xf>
    <xf numFmtId="0" fontId="110" fillId="39" borderId="25" xfId="1" applyFont="1" applyFill="1" applyBorder="1" applyAlignment="1">
      <alignment horizontal="center" vertical="center"/>
    </xf>
    <xf numFmtId="17" fontId="110" fillId="39" borderId="23" xfId="1" applyNumberFormat="1" applyFont="1" applyFill="1" applyBorder="1" applyAlignment="1">
      <alignment horizontal="center" vertical="center"/>
    </xf>
    <xf numFmtId="17" fontId="87" fillId="40" borderId="43" xfId="285" applyNumberFormat="1" applyFont="1" applyFill="1" applyBorder="1" applyAlignment="1">
      <alignment horizontal="center"/>
    </xf>
    <xf numFmtId="17" fontId="87" fillId="40" borderId="45" xfId="285" applyNumberFormat="1" applyFont="1" applyFill="1" applyBorder="1" applyAlignment="1">
      <alignment horizontal="center"/>
    </xf>
    <xf numFmtId="0" fontId="0" fillId="0" borderId="11" xfId="0" applyBorder="1"/>
    <xf numFmtId="10" fontId="0" fillId="0" borderId="11" xfId="3" applyNumberFormat="1" applyFont="1" applyBorder="1"/>
    <xf numFmtId="0" fontId="24" fillId="56" borderId="11" xfId="0" applyFont="1" applyFill="1" applyBorder="1" applyAlignment="1">
      <alignment horizontal="center"/>
    </xf>
    <xf numFmtId="0" fontId="24" fillId="57" borderId="11" xfId="0" applyFont="1" applyFill="1" applyBorder="1" applyAlignment="1">
      <alignment horizontal="center"/>
    </xf>
    <xf numFmtId="164" fontId="0" fillId="0" borderId="11" xfId="0" applyNumberFormat="1" applyBorder="1"/>
    <xf numFmtId="3" fontId="0" fillId="0" borderId="11" xfId="0" applyNumberFormat="1" applyBorder="1"/>
    <xf numFmtId="10" fontId="0" fillId="39" borderId="11" xfId="3" applyNumberFormat="1" applyFont="1" applyFill="1" applyBorder="1"/>
    <xf numFmtId="164" fontId="2" fillId="0" borderId="0" xfId="2" applyNumberFormat="1" applyFont="1" applyFill="1" applyBorder="1"/>
    <xf numFmtId="4" fontId="3" fillId="0" borderId="0" xfId="0" applyNumberFormat="1" applyFont="1" applyFill="1" applyBorder="1"/>
    <xf numFmtId="43" fontId="3" fillId="0" borderId="0" xfId="0" applyNumberFormat="1" applyFont="1" applyFill="1" applyBorder="1"/>
    <xf numFmtId="10" fontId="3" fillId="0" borderId="0" xfId="3" applyNumberFormat="1" applyFont="1" applyFill="1" applyBorder="1"/>
    <xf numFmtId="0" fontId="25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28" fillId="7" borderId="1" xfId="0" applyFont="1" applyFill="1" applyBorder="1" applyAlignment="1">
      <alignment horizontal="center"/>
    </xf>
    <xf numFmtId="0" fontId="131" fillId="7" borderId="0" xfId="0" applyFont="1" applyFill="1"/>
    <xf numFmtId="0" fontId="131" fillId="7" borderId="1" xfId="0" applyFont="1" applyFill="1" applyBorder="1"/>
    <xf numFmtId="164" fontId="7" fillId="0" borderId="0" xfId="2" applyNumberFormat="1" applyFont="1" applyFill="1"/>
    <xf numFmtId="9" fontId="7" fillId="0" borderId="0" xfId="3" applyFont="1" applyFill="1"/>
    <xf numFmtId="0" fontId="1" fillId="0" borderId="0" xfId="0" applyFont="1" applyFill="1" applyAlignment="1">
      <alignment horizontal="left" indent="1"/>
    </xf>
    <xf numFmtId="0" fontId="132" fillId="0" borderId="0" xfId="0" applyFont="1" applyFill="1" applyAlignment="1">
      <alignment horizontal="center"/>
    </xf>
    <xf numFmtId="0" fontId="126" fillId="0" borderId="0" xfId="0" applyFont="1" applyFill="1"/>
    <xf numFmtId="166" fontId="116" fillId="48" borderId="11" xfId="0" applyNumberFormat="1" applyFont="1" applyFill="1" applyBorder="1" applyAlignment="1">
      <alignment horizontal="right" vertical="center" wrapText="1"/>
    </xf>
    <xf numFmtId="0" fontId="115" fillId="47" borderId="0" xfId="0" applyFont="1" applyFill="1" applyAlignment="1">
      <alignment horizontal="center" vertical="center"/>
    </xf>
    <xf numFmtId="221" fontId="88" fillId="49" borderId="11" xfId="2" applyNumberFormat="1" applyFont="1" applyFill="1" applyBorder="1" applyAlignment="1">
      <alignment vertical="center"/>
    </xf>
    <xf numFmtId="0" fontId="0" fillId="48" borderId="11" xfId="0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horizontal="left" vertical="center" wrapText="1"/>
    </xf>
    <xf numFmtId="164" fontId="133" fillId="58" borderId="11" xfId="1" applyNumberFormat="1" applyFont="1" applyFill="1" applyBorder="1" applyAlignment="1">
      <alignment vertical="center"/>
    </xf>
    <xf numFmtId="0" fontId="28" fillId="58" borderId="11" xfId="0" applyFont="1" applyFill="1" applyBorder="1" applyAlignment="1">
      <alignment horizontal="center" vertical="center"/>
    </xf>
    <xf numFmtId="4" fontId="28" fillId="58" borderId="11" xfId="0" applyNumberFormat="1" applyFont="1" applyFill="1" applyBorder="1" applyAlignment="1">
      <alignment horizontal="center"/>
    </xf>
    <xf numFmtId="0" fontId="134" fillId="58" borderId="0" xfId="0" applyFont="1" applyFill="1" applyBorder="1" applyAlignment="1">
      <alignment horizontal="left" vertical="center" wrapText="1"/>
    </xf>
    <xf numFmtId="3" fontId="135" fillId="58" borderId="0" xfId="2" applyNumberFormat="1" applyFont="1" applyFill="1" applyBorder="1" applyAlignment="1">
      <alignment horizontal="right" vertical="center" wrapText="1"/>
    </xf>
    <xf numFmtId="3" fontId="134" fillId="58" borderId="0" xfId="2" applyNumberFormat="1" applyFont="1" applyFill="1" applyBorder="1" applyAlignment="1">
      <alignment horizontal="right" vertical="center" wrapText="1"/>
    </xf>
    <xf numFmtId="3" fontId="135" fillId="58" borderId="0" xfId="2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vertical="center"/>
    </xf>
    <xf numFmtId="0" fontId="28" fillId="7" borderId="1" xfId="0" applyFont="1" applyFill="1" applyBorder="1" applyAlignment="1">
      <alignment horizontal="center" wrapText="1"/>
    </xf>
    <xf numFmtId="4" fontId="136" fillId="48" borderId="11" xfId="0" applyNumberFormat="1" applyFont="1" applyFill="1" applyBorder="1" applyAlignment="1">
      <alignment vertical="center"/>
    </xf>
    <xf numFmtId="3" fontId="137" fillId="49" borderId="11" xfId="0" applyNumberFormat="1" applyFont="1" applyFill="1" applyBorder="1" applyAlignment="1">
      <alignment vertical="center"/>
    </xf>
    <xf numFmtId="0" fontId="138" fillId="0" borderId="0" xfId="0" applyFont="1" applyFill="1" applyAlignment="1">
      <alignment horizontal="center" vertical="center"/>
    </xf>
    <xf numFmtId="192" fontId="138" fillId="0" borderId="0" xfId="405" applyNumberFormat="1" applyFont="1" applyFill="1" applyAlignment="1">
      <alignment horizontal="center" vertical="center"/>
    </xf>
    <xf numFmtId="10" fontId="3" fillId="0" borderId="0" xfId="405" applyNumberFormat="1" applyFont="1" applyFill="1"/>
    <xf numFmtId="3" fontId="7" fillId="2" borderId="5" xfId="0" applyNumberFormat="1" applyFont="1" applyFill="1" applyBorder="1"/>
    <xf numFmtId="3" fontId="3" fillId="2" borderId="11" xfId="0" applyNumberFormat="1" applyFont="1" applyFill="1" applyBorder="1" applyAlignment="1">
      <alignment vertical="center" wrapText="1"/>
    </xf>
    <xf numFmtId="10" fontId="15" fillId="2" borderId="0" xfId="405" applyNumberFormat="1" applyFont="1" applyFill="1"/>
    <xf numFmtId="10" fontId="26" fillId="6" borderId="8" xfId="405" applyNumberFormat="1" applyFont="1" applyFill="1" applyBorder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1" fillId="2" borderId="11" xfId="0" applyFont="1" applyFill="1" applyBorder="1" applyAlignment="1">
      <alignment vertical="top" wrapText="1"/>
    </xf>
    <xf numFmtId="3" fontId="14" fillId="5" borderId="0" xfId="0" applyNumberFormat="1" applyFont="1" applyFill="1"/>
    <xf numFmtId="10" fontId="25" fillId="0" borderId="0" xfId="3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3" fontId="121" fillId="0" borderId="0" xfId="0" applyNumberFormat="1" applyFont="1" applyFill="1" applyBorder="1" applyAlignment="1">
      <alignment vertical="center"/>
    </xf>
    <xf numFmtId="3" fontId="124" fillId="0" borderId="0" xfId="0" applyNumberFormat="1" applyFont="1" applyFill="1" applyBorder="1" applyAlignment="1">
      <alignment vertical="center"/>
    </xf>
    <xf numFmtId="209" fontId="17" fillId="0" borderId="0" xfId="0" applyNumberFormat="1" applyFont="1" applyFill="1" applyBorder="1" applyAlignment="1">
      <alignment vertical="center"/>
    </xf>
    <xf numFmtId="209" fontId="141" fillId="0" borderId="0" xfId="0" applyNumberFormat="1" applyFont="1" applyFill="1" applyBorder="1" applyAlignment="1">
      <alignment vertical="center"/>
    </xf>
    <xf numFmtId="209" fontId="141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223" fontId="129" fillId="0" borderId="37" xfId="0" applyNumberFormat="1" applyFont="1" applyBorder="1" applyAlignment="1">
      <alignment horizontal="left"/>
    </xf>
    <xf numFmtId="223" fontId="0" fillId="0" borderId="42" xfId="0" applyNumberFormat="1" applyBorder="1"/>
    <xf numFmtId="223" fontId="0" fillId="0" borderId="37" xfId="0" applyNumberFormat="1" applyBorder="1"/>
    <xf numFmtId="223" fontId="0" fillId="0" borderId="55" xfId="0" applyNumberFormat="1" applyBorder="1"/>
    <xf numFmtId="223" fontId="0" fillId="0" borderId="13" xfId="0" applyNumberFormat="1" applyBorder="1"/>
    <xf numFmtId="223" fontId="0" fillId="6" borderId="11" xfId="0" applyNumberFormat="1" applyFill="1" applyBorder="1"/>
    <xf numFmtId="17" fontId="129" fillId="52" borderId="49" xfId="0" applyNumberFormat="1" applyFont="1" applyFill="1" applyBorder="1" applyAlignment="1">
      <alignment horizontal="center"/>
    </xf>
    <xf numFmtId="17" fontId="129" fillId="52" borderId="13" xfId="0" applyNumberFormat="1" applyFont="1" applyFill="1" applyBorder="1" applyAlignment="1">
      <alignment horizontal="center"/>
    </xf>
    <xf numFmtId="17" fontId="129" fillId="52" borderId="33" xfId="0" applyNumberFormat="1" applyFont="1" applyFill="1" applyBorder="1" applyAlignment="1">
      <alignment horizontal="center"/>
    </xf>
    <xf numFmtId="17" fontId="129" fillId="54" borderId="49" xfId="0" applyNumberFormat="1" applyFont="1" applyFill="1" applyBorder="1" applyAlignment="1">
      <alignment horizontal="center"/>
    </xf>
    <xf numFmtId="17" fontId="129" fillId="54" borderId="13" xfId="0" applyNumberFormat="1" applyFont="1" applyFill="1" applyBorder="1" applyAlignment="1">
      <alignment horizontal="center"/>
    </xf>
    <xf numFmtId="17" fontId="129" fillId="54" borderId="33" xfId="0" applyNumberFormat="1" applyFont="1" applyFill="1" applyBorder="1" applyAlignment="1">
      <alignment horizontal="center"/>
    </xf>
    <xf numFmtId="17" fontId="129" fillId="55" borderId="49" xfId="0" applyNumberFormat="1" applyFont="1" applyFill="1" applyBorder="1" applyAlignment="1">
      <alignment horizontal="center"/>
    </xf>
    <xf numFmtId="17" fontId="129" fillId="55" borderId="13" xfId="0" applyNumberFormat="1" applyFont="1" applyFill="1" applyBorder="1" applyAlignment="1">
      <alignment horizontal="center"/>
    </xf>
    <xf numFmtId="17" fontId="129" fillId="55" borderId="33" xfId="0" applyNumberFormat="1" applyFont="1" applyFill="1" applyBorder="1" applyAlignment="1">
      <alignment horizontal="center"/>
    </xf>
    <xf numFmtId="3" fontId="142" fillId="0" borderId="11" xfId="0" applyNumberFormat="1" applyFont="1" applyFill="1" applyBorder="1"/>
    <xf numFmtId="0" fontId="143" fillId="0" borderId="49" xfId="0" applyFont="1" applyFill="1" applyBorder="1" applyAlignment="1">
      <alignment horizontal="right" vertical="center"/>
    </xf>
    <xf numFmtId="0" fontId="143" fillId="0" borderId="11" xfId="0" applyFont="1" applyFill="1" applyBorder="1" applyAlignment="1">
      <alignment horizontal="center" vertical="center"/>
    </xf>
    <xf numFmtId="0" fontId="0" fillId="0" borderId="0" xfId="0" applyFill="1"/>
    <xf numFmtId="223" fontId="0" fillId="0" borderId="0" xfId="0" applyNumberFormat="1"/>
    <xf numFmtId="3" fontId="7" fillId="2" borderId="8" xfId="0" applyNumberFormat="1" applyFont="1" applyFill="1" applyBorder="1"/>
    <xf numFmtId="0" fontId="15" fillId="2" borderId="0" xfId="0" applyFont="1" applyFill="1" applyAlignment="1">
      <alignment horizontal="center"/>
    </xf>
    <xf numFmtId="164" fontId="141" fillId="0" borderId="0" xfId="2" applyNumberFormat="1" applyFont="1" applyFill="1"/>
    <xf numFmtId="10" fontId="17" fillId="0" borderId="3" xfId="3" applyNumberFormat="1" applyFont="1" applyFill="1" applyBorder="1" applyAlignment="1">
      <alignment horizontal="right" vertical="center"/>
    </xf>
    <xf numFmtId="0" fontId="15" fillId="0" borderId="7" xfId="0" applyFont="1" applyFill="1" applyBorder="1" applyAlignment="1">
      <alignment vertical="center" wrapText="1"/>
    </xf>
    <xf numFmtId="0" fontId="17" fillId="0" borderId="0" xfId="0" applyFont="1" applyFill="1" applyAlignment="1" applyProtection="1">
      <alignment horizontal="center" vertical="center" wrapText="1"/>
    </xf>
    <xf numFmtId="0" fontId="28" fillId="7" borderId="0" xfId="0" applyFont="1" applyFill="1" applyAlignment="1">
      <alignment horizontal="center"/>
    </xf>
    <xf numFmtId="0" fontId="19" fillId="3" borderId="0" xfId="0" applyFont="1" applyFill="1" applyAlignment="1">
      <alignment horizontal="center" vertical="center" wrapText="1"/>
    </xf>
    <xf numFmtId="0" fontId="28" fillId="7" borderId="0" xfId="0" applyFont="1" applyFill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3" fontId="13" fillId="0" borderId="0" xfId="2" applyNumberFormat="1" applyFont="1" applyFill="1" applyBorder="1" applyAlignment="1">
      <alignment horizontal="center" vertical="center" wrapText="1"/>
    </xf>
    <xf numFmtId="3" fontId="13" fillId="0" borderId="3" xfId="2" applyNumberFormat="1" applyFont="1" applyFill="1" applyBorder="1" applyAlignment="1">
      <alignment horizontal="center" vertical="center" wrapText="1"/>
    </xf>
    <xf numFmtId="17" fontId="21" fillId="3" borderId="0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87" fillId="0" borderId="23" xfId="0" applyFont="1" applyBorder="1" applyAlignment="1">
      <alignment horizontal="center" vertical="center"/>
    </xf>
    <xf numFmtId="0" fontId="87" fillId="0" borderId="26" xfId="0" applyFont="1" applyBorder="1" applyAlignment="1">
      <alignment horizontal="center" vertical="center"/>
    </xf>
    <xf numFmtId="0" fontId="87" fillId="0" borderId="24" xfId="0" applyFont="1" applyBorder="1" applyAlignment="1">
      <alignment horizontal="center" vertical="center"/>
    </xf>
    <xf numFmtId="0" fontId="87" fillId="0" borderId="27" xfId="0" applyFont="1" applyBorder="1" applyAlignment="1">
      <alignment horizontal="center" vertical="center"/>
    </xf>
    <xf numFmtId="0" fontId="87" fillId="39" borderId="24" xfId="0" applyFont="1" applyFill="1" applyBorder="1" applyAlignment="1">
      <alignment horizontal="center" vertical="center"/>
    </xf>
    <xf numFmtId="0" fontId="87" fillId="39" borderId="27" xfId="0" applyFont="1" applyFill="1" applyBorder="1" applyAlignment="1">
      <alignment horizontal="center" vertical="center"/>
    </xf>
    <xf numFmtId="0" fontId="87" fillId="39" borderId="24" xfId="0" applyFont="1" applyFill="1" applyBorder="1" applyAlignment="1">
      <alignment horizontal="center" vertical="center" wrapText="1"/>
    </xf>
    <xf numFmtId="0" fontId="87" fillId="39" borderId="25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209" fontId="0" fillId="39" borderId="34" xfId="2" applyNumberFormat="1" applyFont="1" applyFill="1" applyBorder="1" applyAlignment="1">
      <alignment horizontal="center" vertical="center" wrapText="1"/>
    </xf>
    <xf numFmtId="209" fontId="0" fillId="39" borderId="37" xfId="2" applyNumberFormat="1" applyFont="1" applyFill="1" applyBorder="1" applyAlignment="1">
      <alignment horizontal="center" vertical="center" wrapText="1"/>
    </xf>
    <xf numFmtId="209" fontId="0" fillId="39" borderId="39" xfId="2" applyNumberFormat="1" applyFont="1" applyFill="1" applyBorder="1" applyAlignment="1">
      <alignment horizontal="center" vertical="center" wrapText="1"/>
    </xf>
    <xf numFmtId="0" fontId="0" fillId="39" borderId="35" xfId="0" applyFill="1" applyBorder="1" applyAlignment="1">
      <alignment horizontal="center" vertical="center" wrapText="1"/>
    </xf>
    <xf numFmtId="0" fontId="0" fillId="39" borderId="38" xfId="0" applyFill="1" applyBorder="1" applyAlignment="1">
      <alignment horizontal="center" vertical="center" wrapText="1"/>
    </xf>
    <xf numFmtId="0" fontId="0" fillId="39" borderId="40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" fontId="87" fillId="4" borderId="23" xfId="1" applyNumberFormat="1" applyFont="1" applyFill="1" applyBorder="1" applyAlignment="1">
      <alignment horizontal="center" vertical="center" wrapText="1"/>
    </xf>
    <xf numFmtId="17" fontId="87" fillId="4" borderId="46" xfId="1" applyNumberFormat="1" applyFont="1" applyFill="1" applyBorder="1" applyAlignment="1">
      <alignment horizontal="center" vertical="center" wrapText="1"/>
    </xf>
    <xf numFmtId="0" fontId="87" fillId="4" borderId="24" xfId="1" applyFont="1" applyFill="1" applyBorder="1" applyAlignment="1">
      <alignment horizontal="center" vertical="center" wrapText="1"/>
    </xf>
    <xf numFmtId="0" fontId="87" fillId="4" borderId="25" xfId="1" applyNumberFormat="1" applyFont="1" applyFill="1" applyBorder="1" applyAlignment="1">
      <alignment horizontal="center" vertical="center" wrapText="1"/>
    </xf>
    <xf numFmtId="0" fontId="87" fillId="4" borderId="48" xfId="1" applyNumberFormat="1" applyFont="1" applyFill="1" applyBorder="1" applyAlignment="1">
      <alignment horizontal="center" vertical="center" wrapText="1"/>
    </xf>
    <xf numFmtId="0" fontId="87" fillId="4" borderId="11" xfId="1" applyNumberFormat="1" applyFont="1" applyFill="1" applyBorder="1" applyAlignment="1">
      <alignment horizontal="center" vertical="center" wrapText="1"/>
    </xf>
    <xf numFmtId="0" fontId="87" fillId="4" borderId="11" xfId="1" applyNumberFormat="1" applyFont="1" applyFill="1" applyBorder="1" applyAlignment="1">
      <alignment horizontal="center"/>
    </xf>
    <xf numFmtId="0" fontId="87" fillId="4" borderId="11" xfId="1" applyFont="1" applyFill="1" applyBorder="1" applyAlignment="1">
      <alignment horizontal="center" vertical="center" wrapText="1"/>
    </xf>
    <xf numFmtId="0" fontId="87" fillId="0" borderId="0" xfId="1" applyFont="1" applyAlignment="1">
      <alignment horizontal="center"/>
    </xf>
    <xf numFmtId="0" fontId="87" fillId="0" borderId="0" xfId="1" applyFont="1" applyAlignment="1">
      <alignment horizontal="left"/>
    </xf>
    <xf numFmtId="0" fontId="87" fillId="4" borderId="25" xfId="1" applyFont="1" applyFill="1" applyBorder="1" applyAlignment="1">
      <alignment horizontal="center" vertical="center" wrapText="1"/>
    </xf>
    <xf numFmtId="0" fontId="87" fillId="4" borderId="48" xfId="1" applyFont="1" applyFill="1" applyBorder="1" applyAlignment="1">
      <alignment horizontal="center" vertical="center" wrapText="1"/>
    </xf>
    <xf numFmtId="0" fontId="87" fillId="4" borderId="11" xfId="1" applyFont="1" applyFill="1" applyBorder="1" applyAlignment="1">
      <alignment horizontal="center"/>
    </xf>
    <xf numFmtId="17" fontId="110" fillId="41" borderId="23" xfId="1" applyNumberFormat="1" applyFont="1" applyFill="1" applyBorder="1" applyAlignment="1">
      <alignment horizontal="center" vertical="center" wrapText="1"/>
    </xf>
    <xf numFmtId="17" fontId="110" fillId="41" borderId="46" xfId="1" applyNumberFormat="1" applyFont="1" applyFill="1" applyBorder="1" applyAlignment="1">
      <alignment horizontal="center" vertical="center" wrapText="1"/>
    </xf>
    <xf numFmtId="0" fontId="110" fillId="41" borderId="24" xfId="1" applyFont="1" applyFill="1" applyBorder="1" applyAlignment="1">
      <alignment horizontal="center" vertical="center" wrapText="1"/>
    </xf>
    <xf numFmtId="0" fontId="110" fillId="41" borderId="25" xfId="1" applyFont="1" applyFill="1" applyBorder="1" applyAlignment="1">
      <alignment horizontal="center" vertical="center" wrapText="1"/>
    </xf>
    <xf numFmtId="0" fontId="110" fillId="41" borderId="48" xfId="1" applyFont="1" applyFill="1" applyBorder="1" applyAlignment="1">
      <alignment horizontal="center" vertical="center" wrapText="1"/>
    </xf>
    <xf numFmtId="0" fontId="110" fillId="41" borderId="11" xfId="1" applyFont="1" applyFill="1" applyBorder="1" applyAlignment="1">
      <alignment horizontal="center" vertical="center" wrapText="1"/>
    </xf>
    <xf numFmtId="0" fontId="110" fillId="41" borderId="11" xfId="1" applyFont="1" applyFill="1" applyBorder="1" applyAlignment="1">
      <alignment horizontal="center"/>
    </xf>
    <xf numFmtId="0" fontId="110" fillId="42" borderId="24" xfId="1" applyFont="1" applyFill="1" applyBorder="1" applyAlignment="1">
      <alignment horizontal="center" vertical="center" wrapText="1"/>
    </xf>
    <xf numFmtId="0" fontId="110" fillId="42" borderId="25" xfId="1" applyFont="1" applyFill="1" applyBorder="1" applyAlignment="1">
      <alignment horizontal="center" vertical="center" wrapText="1"/>
    </xf>
    <xf numFmtId="0" fontId="110" fillId="42" borderId="48" xfId="1" applyFont="1" applyFill="1" applyBorder="1" applyAlignment="1">
      <alignment horizontal="center" vertical="center" wrapText="1"/>
    </xf>
    <xf numFmtId="0" fontId="110" fillId="42" borderId="11" xfId="1" applyFont="1" applyFill="1" applyBorder="1" applyAlignment="1">
      <alignment horizontal="center" vertical="center" wrapText="1"/>
    </xf>
    <xf numFmtId="0" fontId="110" fillId="42" borderId="11" xfId="1" applyFont="1" applyFill="1" applyBorder="1" applyAlignment="1">
      <alignment horizontal="center"/>
    </xf>
    <xf numFmtId="10" fontId="3" fillId="6" borderId="0" xfId="3" applyNumberFormat="1" applyFont="1" applyFill="1" applyAlignment="1">
      <alignment vertical="center"/>
    </xf>
    <xf numFmtId="0" fontId="3" fillId="6" borderId="0" xfId="0" applyFont="1" applyFill="1" applyAlignment="1">
      <alignment horizontal="right"/>
    </xf>
    <xf numFmtId="9" fontId="3" fillId="6" borderId="0" xfId="3" applyFont="1" applyFill="1" applyAlignment="1">
      <alignment horizontal="right"/>
    </xf>
    <xf numFmtId="167" fontId="17" fillId="6" borderId="0" xfId="0" applyNumberFormat="1" applyFont="1" applyFill="1" applyAlignment="1" applyProtection="1"/>
    <xf numFmtId="164" fontId="2" fillId="6" borderId="0" xfId="2" applyNumberFormat="1" applyFont="1" applyFill="1"/>
    <xf numFmtId="164" fontId="2" fillId="6" borderId="3" xfId="2" applyNumberFormat="1" applyFont="1" applyFill="1" applyBorder="1"/>
    <xf numFmtId="10" fontId="2" fillId="6" borderId="0" xfId="3" applyNumberFormat="1" applyFont="1" applyFill="1" applyAlignment="1">
      <alignment horizontal="right" vertical="center"/>
    </xf>
    <xf numFmtId="3" fontId="3" fillId="6" borderId="0" xfId="0" applyNumberFormat="1" applyFont="1" applyFill="1" applyBorder="1" applyAlignment="1">
      <alignment horizontal="center"/>
    </xf>
    <xf numFmtId="3" fontId="3" fillId="6" borderId="0" xfId="0" applyNumberFormat="1" applyFont="1" applyFill="1" applyBorder="1"/>
    <xf numFmtId="3" fontId="13" fillId="6" borderId="0" xfId="2" applyNumberFormat="1" applyFont="1" applyFill="1" applyBorder="1" applyAlignment="1">
      <alignment horizontal="right" vertical="center" wrapText="1"/>
    </xf>
    <xf numFmtId="3" fontId="13" fillId="6" borderId="3" xfId="2" applyNumberFormat="1" applyFont="1" applyFill="1" applyBorder="1" applyAlignment="1">
      <alignment horizontal="right" vertical="center" wrapText="1"/>
    </xf>
    <xf numFmtId="3" fontId="15" fillId="6" borderId="0" xfId="0" applyNumberFormat="1" applyFont="1" applyFill="1"/>
    <xf numFmtId="10" fontId="0" fillId="6" borderId="11" xfId="3" applyNumberFormat="1" applyFont="1" applyFill="1" applyBorder="1"/>
    <xf numFmtId="222" fontId="127" fillId="6" borderId="11" xfId="0" applyNumberFormat="1" applyFont="1" applyFill="1" applyBorder="1"/>
    <xf numFmtId="4" fontId="142" fillId="6" borderId="11" xfId="0" applyNumberFormat="1" applyFont="1" applyFill="1" applyBorder="1" applyAlignment="1">
      <alignment horizontal="center" vertical="center" wrapText="1"/>
    </xf>
    <xf numFmtId="3" fontId="0" fillId="6" borderId="0" xfId="0" applyNumberFormat="1" applyFill="1" applyBorder="1"/>
    <xf numFmtId="3" fontId="0" fillId="6" borderId="53" xfId="0" applyNumberFormat="1" applyFill="1" applyBorder="1"/>
    <xf numFmtId="3" fontId="0" fillId="6" borderId="3" xfId="0" applyNumberFormat="1" applyFill="1" applyBorder="1"/>
    <xf numFmtId="3" fontId="0" fillId="6" borderId="56" xfId="0" applyNumberFormat="1" applyFill="1" applyBorder="1"/>
    <xf numFmtId="209" fontId="0" fillId="6" borderId="24" xfId="2" applyNumberFormat="1" applyFont="1" applyFill="1" applyBorder="1" applyAlignment="1">
      <alignment horizontal="center" vertical="center" wrapText="1"/>
    </xf>
    <xf numFmtId="209" fontId="0" fillId="6" borderId="27" xfId="2" applyNumberFormat="1" applyFont="1" applyFill="1" applyBorder="1" applyAlignment="1">
      <alignment horizontal="center" vertical="center" wrapText="1"/>
    </xf>
    <xf numFmtId="209" fontId="0" fillId="6" borderId="11" xfId="2" applyNumberFormat="1" applyFont="1" applyFill="1" applyBorder="1" applyAlignment="1">
      <alignment horizontal="center" vertical="center" wrapText="1"/>
    </xf>
    <xf numFmtId="209" fontId="0" fillId="6" borderId="41" xfId="2" applyNumberFormat="1" applyFont="1" applyFill="1" applyBorder="1" applyAlignment="1">
      <alignment horizontal="center" vertical="center" wrapText="1"/>
    </xf>
    <xf numFmtId="209" fontId="0" fillId="6" borderId="42" xfId="2" applyNumberFormat="1" applyFont="1" applyFill="1" applyBorder="1" applyAlignment="1">
      <alignment horizontal="center" vertical="center" wrapText="1"/>
    </xf>
    <xf numFmtId="209" fontId="0" fillId="6" borderId="44" xfId="2" applyNumberFormat="1" applyFont="1" applyFill="1" applyBorder="1" applyAlignment="1">
      <alignment horizontal="center" vertical="center" wrapText="1"/>
    </xf>
    <xf numFmtId="164" fontId="11" fillId="6" borderId="11" xfId="287" applyNumberFormat="1" applyFont="1" applyFill="1" applyBorder="1" applyAlignment="1">
      <alignment horizontal="center"/>
    </xf>
    <xf numFmtId="164" fontId="23" fillId="6" borderId="11" xfId="287" applyNumberFormat="1" applyFont="1" applyFill="1" applyBorder="1" applyAlignment="1">
      <alignment horizontal="center"/>
    </xf>
    <xf numFmtId="0" fontId="23" fillId="6" borderId="11" xfId="287" applyNumberFormat="1" applyFont="1" applyFill="1" applyBorder="1" applyAlignment="1">
      <alignment horizontal="center"/>
    </xf>
    <xf numFmtId="164" fontId="91" fillId="6" borderId="11" xfId="1" applyNumberFormat="1" applyFont="1" applyFill="1" applyBorder="1" applyAlignment="1">
      <alignment vertical="center"/>
    </xf>
    <xf numFmtId="164" fontId="91" fillId="6" borderId="27" xfId="1" applyNumberFormat="1" applyFont="1" applyFill="1" applyBorder="1" applyAlignment="1">
      <alignment vertical="center"/>
    </xf>
    <xf numFmtId="10" fontId="0" fillId="0" borderId="57" xfId="3" applyNumberFormat="1" applyFont="1" applyFill="1" applyBorder="1"/>
    <xf numFmtId="223" fontId="0" fillId="0" borderId="0" xfId="0" applyNumberFormat="1" applyFill="1" applyBorder="1"/>
    <xf numFmtId="223" fontId="0" fillId="0" borderId="3" xfId="0" applyNumberFormat="1" applyFill="1" applyBorder="1"/>
    <xf numFmtId="0" fontId="11" fillId="0" borderId="0" xfId="1" applyFont="1"/>
  </cellXfs>
  <cellStyles count="406">
    <cellStyle name=" Task]_x000d__x000a_TaskName=Scan At_x000d__x000a_TaskID=3_x000d__x000a_WorkstationName=SmarTone_x000d__x000a_LastExecuted=0_x000d__x000a_LastSt" xfId="5"/>
    <cellStyle name="%" xfId="1"/>
    <cellStyle name="% 2" xfId="288"/>
    <cellStyle name="% 3" xfId="289"/>
    <cellStyle name="% 4" xfId="290"/>
    <cellStyle name="% 5" xfId="291"/>
    <cellStyle name="% 6" xfId="292"/>
    <cellStyle name="% 7" xfId="333"/>
    <cellStyle name="%_00 Costos Plataforma de Pago" xfId="6"/>
    <cellStyle name="%_00 Costos Plataforma de Pago 2" xfId="7"/>
    <cellStyle name="%_00 Costos Plataforma de Pago 3" xfId="8"/>
    <cellStyle name="%_2009Q2_Reporte_Osiptel" xfId="334"/>
    <cellStyle name="%_Analisis de escenarios Area Virtual Movil" xfId="9"/>
    <cellStyle name="%_Datos_Costos_Plataforma_Prepago_2010 v2" xfId="10"/>
    <cellStyle name="%_Formatos de información periódica 2dor Trimestre 2009 - OSIPTEL" xfId="335"/>
    <cellStyle name="%_Nextel del Perú S A  - información periódica 3er trimestre de 2009 (OSIPTEL)" xfId="336"/>
    <cellStyle name="%_Nextel del Perú S A  - información periódica 3er trimestre de 2009 (OSIPTEL) (5)" xfId="337"/>
    <cellStyle name="%_Nextel del Perú S A  - información periódica 3er trimestre de 2009 (OSIPTEL) (6)" xfId="338"/>
    <cellStyle name="%_Nextel del Perú S.A. - información periódica 2do trimestre de 2009 (OSIPTEL)" xfId="339"/>
    <cellStyle name="%_Nextel del Perú S.A. - Información periódica OSIPTEL" xfId="340"/>
    <cellStyle name="%_OSIPTEL FORMATOS 3-E y 3-F TRIMESTRE 2-2009" xfId="341"/>
    <cellStyle name="(0%) &quot; - &quot;" xfId="293"/>
    <cellStyle name="(0%) &quot; - &quot;per" xfId="294"/>
    <cellStyle name="(0,000) &quot; - &quot;" xfId="295"/>
    <cellStyle name="(0,000) &quot; - &quot;num" xfId="296"/>
    <cellStyle name="(0.0%)" xfId="297"/>
    <cellStyle name="(4) STM-1 (LECT)_x000d__x000a_PL-4579-M-039-99_x000d__x000a_FALTA APE" xfId="11"/>
    <cellStyle name="?? [0.00]_laroux" xfId="298"/>
    <cellStyle name="???? [0.00]_laroux" xfId="299"/>
    <cellStyle name="????_laroux" xfId="300"/>
    <cellStyle name="??_??" xfId="301"/>
    <cellStyle name="_02 Network elements" xfId="12"/>
    <cellStyle name="_02 Network elements_00 Costos Plataforma de Pago" xfId="13"/>
    <cellStyle name="_02 Network elements_00 Costos Plataforma de Pago 2" xfId="14"/>
    <cellStyle name="_02 Network elements_00 Costos Plataforma de Pago 3" xfId="15"/>
    <cellStyle name="_02 Network elements_Datos_Costos_Plataforma_Prepago_2010 v2" xfId="16"/>
    <cellStyle name="_1xRTT 3rd Carrier B-Form V.02 221102" xfId="17"/>
    <cellStyle name="_Anexo 16.7.2 Planilha de Preços Unitários Rede GSM  Darw" xfId="18"/>
    <cellStyle name="_Anexo 16.7.2 Planilha de Preços Unitários Rede GSM  Darw_00 Costos Plataforma de Pago" xfId="19"/>
    <cellStyle name="_Anexo 16.7.2 Planilha de Preços Unitários Rede GSM  Darw_00 Costos Plataforma de Pago 2" xfId="20"/>
    <cellStyle name="_Anexo 16.7.2 Planilha de Preços Unitários Rede GSM  Darw_00 Costos Plataforma de Pago 3" xfId="21"/>
    <cellStyle name="_Anexo 16.7.2 Planilha de Preços Unitários Rede GSM  Darw_Datos_Costos_Plataforma_Prepago_2010 v2" xfId="22"/>
    <cellStyle name="_BTS comp and discount structure V.11" xfId="23"/>
    <cellStyle name="_BTS comp and discount structure V.11_00 Costos Plataforma de Pago" xfId="24"/>
    <cellStyle name="_BTS comp and discount structure V.11_00 Costos Plataforma de Pago 2" xfId="25"/>
    <cellStyle name="_BTS comp and discount structure V.11_00 Costos Plataforma de Pago 3" xfId="26"/>
    <cellStyle name="_BTS comp and discount structure V.11_Datos_Costos_Plataforma_Prepago_2010 v2" xfId="27"/>
    <cellStyle name="_BTS EQUIPOS + TI (4)" xfId="28"/>
    <cellStyle name="_Comcel Phase 5 B-Form" xfId="29"/>
    <cellStyle name="_EQList Data Backbone PP15K-7K 100603 w COSTS" xfId="30"/>
    <cellStyle name="_EQList Data Backbone PP15K-7K 100603 w COSTS_00 Costos Plataforma de Pago" xfId="31"/>
    <cellStyle name="_EQList Data Backbone PP15K-7K 100603 w COSTS_00 Costos Plataforma de Pago 2" xfId="32"/>
    <cellStyle name="_EQList Data Backbone PP15K-7K 100603 w COSTS_00 Costos Plataforma de Pago 3" xfId="33"/>
    <cellStyle name="_EQList Data Backbone PP15K-7K 100603 w COSTS_Datos_Costos_Plataforma_Prepago_2010 v2" xfId="34"/>
    <cellStyle name="_EQList TdP OM4150 100603 - w COSTS" xfId="35"/>
    <cellStyle name="_EQList TdP OM4150 100603 - w COSTS_00 Costos Plataforma de Pago" xfId="36"/>
    <cellStyle name="_EQList TdP OM4150 100603 - w COSTS_00 Costos Plataforma de Pago 2" xfId="37"/>
    <cellStyle name="_EQList TdP OM4150 100603 - w COSTS_00 Costos Plataforma de Pago 3" xfId="38"/>
    <cellStyle name="_EQList TdP OM4150 100603 - w COSTS_Datos_Costos_Plataforma_Prepago_2010 v2" xfId="39"/>
    <cellStyle name="_Global Comps - Full Service - 12 Jan  2001" xfId="40"/>
    <cellStyle name="_Global Comps - Full Service - 12 Jan  2001_Analisis de escenarios Area Virtual Movil" xfId="41"/>
    <cellStyle name="_Global Comps - Full Service - 18 June 2001" xfId="42"/>
    <cellStyle name="_Global Comps - Full Service - 18 June 2001_Analisis de escenarios Area Virtual Movil" xfId="43"/>
    <cellStyle name="_Global Comps - Full Service - 20 June 2001" xfId="44"/>
    <cellStyle name="_Global Comps - Full Service - 20 June 2001_Analisis de escenarios Area Virtual Movil" xfId="45"/>
    <cellStyle name="_MCIT" xfId="46"/>
    <cellStyle name="_MCIT_Analisis de escenarios Area Virtual Movil" xfId="47"/>
    <cellStyle name="_New WCOM" xfId="48"/>
    <cellStyle name="_New WCOM_Analisis de escenarios Area Virtual Movil" xfId="49"/>
    <cellStyle name="_Valorizacion RED Modelo Costos 2010 Version Final_2" xfId="50"/>
    <cellStyle name="_Valorizacion RED Modelo Costos 2010 Version Final_2_00 Costos Plataforma de Pago" xfId="51"/>
    <cellStyle name="_Valorizacion RED Modelo Costos 2010 Version Final_2_00 Costos Plataforma de Pago 2" xfId="52"/>
    <cellStyle name="_Valorizacion RED Modelo Costos 2010 Version Final_2_00 Costos Plataforma de Pago 3" xfId="53"/>
    <cellStyle name="_Valorizacion RED Modelo Costos 2010 Version Final_2_Datos_Costos_Plataforma_Prepago_2010 v2" xfId="54"/>
    <cellStyle name="_Valorizacion RED Modelo Costos 2010 Version Final_4 Revisada" xfId="55"/>
    <cellStyle name="_Valorizacion RED Modelo Costos 2010 Version Final_4 Revisada_00 Costos Plataforma de Pago" xfId="56"/>
    <cellStyle name="_Valorizacion RED Modelo Costos 2010 Version Final_4 Revisada_00 Costos Plataforma de Pago 2" xfId="57"/>
    <cellStyle name="_Valorizacion RED Modelo Costos 2010 Version Final_4 Revisada_00 Costos Plataforma de Pago 3" xfId="58"/>
    <cellStyle name="_Valorizacion RED Modelo Costos 2010 Version Final_4 Revisada_Datos_Costos_Plataforma_Prepago_2010 v2" xfId="59"/>
    <cellStyle name="_VNTModellastestimates" xfId="60"/>
    <cellStyle name="_VNTModellastestimates_Analisis de escenarios Area Virtual Movil" xfId="61"/>
    <cellStyle name="=C:\WINDOWS\SYSTEM32\COMMAND.COM" xfId="62"/>
    <cellStyle name="=C:\WINNT\SYSTEM32\COMMAND.COM" xfId="63"/>
    <cellStyle name="•W_laroux" xfId="64"/>
    <cellStyle name="0000" xfId="65"/>
    <cellStyle name="000000" xfId="66"/>
    <cellStyle name="0UserFill" xfId="67"/>
    <cellStyle name="1" xfId="68"/>
    <cellStyle name="20% - Accent1" xfId="69"/>
    <cellStyle name="20% - Accent2" xfId="70"/>
    <cellStyle name="20% - Accent3" xfId="71"/>
    <cellStyle name="20% - Accent4" xfId="72"/>
    <cellStyle name="20% - Accent5" xfId="73"/>
    <cellStyle name="20% - Accent6" xfId="74"/>
    <cellStyle name="40% - Accent1" xfId="75"/>
    <cellStyle name="40% - Accent2" xfId="76"/>
    <cellStyle name="40% - Accent3" xfId="77"/>
    <cellStyle name="40% - Accent4" xfId="78"/>
    <cellStyle name="40% - Accent5" xfId="79"/>
    <cellStyle name="40% - Accent6" xfId="80"/>
    <cellStyle name="571" xfId="81"/>
    <cellStyle name="60% - Accent1" xfId="82"/>
    <cellStyle name="60% - Accent2" xfId="83"/>
    <cellStyle name="60% - Accent3" xfId="84"/>
    <cellStyle name="60% - Accent4" xfId="85"/>
    <cellStyle name="60% - Accent5" xfId="86"/>
    <cellStyle name="60% - Accent6" xfId="87"/>
    <cellStyle name="6mal" xfId="88"/>
    <cellStyle name="A Big heading" xfId="302"/>
    <cellStyle name="A body text" xfId="303"/>
    <cellStyle name="A smaller heading" xfId="304"/>
    <cellStyle name="A3 297 x 420 mm" xfId="305"/>
    <cellStyle name="A3 297 x 420 mm 2" xfId="342"/>
    <cellStyle name="A3 297 x 420 mm 3" xfId="343"/>
    <cellStyle name="A3 297 x 420 mm 4" xfId="344"/>
    <cellStyle name="A3 297 x 420 mm 5" xfId="345"/>
    <cellStyle name="A3 297 x 420 mm_INGENIERÍA" xfId="346"/>
    <cellStyle name="Accent1" xfId="89"/>
    <cellStyle name="Accent2" xfId="90"/>
    <cellStyle name="Accent3" xfId="91"/>
    <cellStyle name="Accent4" xfId="92"/>
    <cellStyle name="Accent5" xfId="93"/>
    <cellStyle name="Accent6" xfId="94"/>
    <cellStyle name="AFE" xfId="95"/>
    <cellStyle name="amount" xfId="306"/>
    <cellStyle name="args.style" xfId="96"/>
    <cellStyle name="auf tausender" xfId="97"/>
    <cellStyle name="Bad" xfId="98"/>
    <cellStyle name="Billions" xfId="99"/>
    <cellStyle name="blank" xfId="100"/>
    <cellStyle name="bold big" xfId="307"/>
    <cellStyle name="bold bot bord" xfId="308"/>
    <cellStyle name="bold underline" xfId="309"/>
    <cellStyle name="Border Bottom Thick" xfId="310"/>
    <cellStyle name="Border Top Thin" xfId="311"/>
    <cellStyle name="BvDAddIn_Currency" xfId="101"/>
    <cellStyle name="Calc Currency (0)" xfId="102"/>
    <cellStyle name="Calc Currency (2)" xfId="103"/>
    <cellStyle name="Calc Percent (0)" xfId="104"/>
    <cellStyle name="Calc Percent (1)" xfId="105"/>
    <cellStyle name="Calc Percent (2)" xfId="106"/>
    <cellStyle name="Calc Units (0)" xfId="107"/>
    <cellStyle name="Calc Units (1)" xfId="108"/>
    <cellStyle name="Calc Units (2)" xfId="109"/>
    <cellStyle name="Calculation" xfId="110"/>
    <cellStyle name="Cancel" xfId="111"/>
    <cellStyle name="category" xfId="112"/>
    <cellStyle name="Check Cell" xfId="113"/>
    <cellStyle name="Comma [00]" xfId="114"/>
    <cellStyle name="Comma [2]" xfId="115"/>
    <cellStyle name="Comma 2" xfId="116"/>
    <cellStyle name="Comma 2 2" xfId="347"/>
    <cellStyle name="Comma 3" xfId="117"/>
    <cellStyle name="Comma 4" xfId="312"/>
    <cellStyle name="Comma 5" xfId="348"/>
    <cellStyle name="Comma.2" xfId="118"/>
    <cellStyle name="Comma_Información periódica financiera y de empleo en el sector (17 de abril de 2008)" xfId="313"/>
    <cellStyle name="Comma0" xfId="119"/>
    <cellStyle name="Comma0 - Modelo1" xfId="120"/>
    <cellStyle name="Comma0 - Style1" xfId="121"/>
    <cellStyle name="Comma0 2" xfId="349"/>
    <cellStyle name="Comma0 3" xfId="350"/>
    <cellStyle name="Comma0 4" xfId="351"/>
    <cellStyle name="Comma0 5" xfId="352"/>
    <cellStyle name="Comma1 - Modelo2" xfId="122"/>
    <cellStyle name="Comma1 - Style2" xfId="123"/>
    <cellStyle name="Currency [00]" xfId="124"/>
    <cellStyle name="Currency Thousands" xfId="125"/>
    <cellStyle name="Currency0" xfId="126"/>
    <cellStyle name="Currency0 2" xfId="353"/>
    <cellStyle name="Currency0 3" xfId="354"/>
    <cellStyle name="Currency0 4" xfId="355"/>
    <cellStyle name="Currency0 5" xfId="356"/>
    <cellStyle name="CustomStyle1" xfId="127"/>
    <cellStyle name="CustomStyle10" xfId="128"/>
    <cellStyle name="CustomStyle11" xfId="129"/>
    <cellStyle name="CustomStyle12" xfId="130"/>
    <cellStyle name="CustomStyle13" xfId="131"/>
    <cellStyle name="CustomStyle14" xfId="132"/>
    <cellStyle name="CustomStyle15" xfId="133"/>
    <cellStyle name="CustomStyle16" xfId="134"/>
    <cellStyle name="CustomStyle17" xfId="135"/>
    <cellStyle name="CustomStyle18" xfId="136"/>
    <cellStyle name="CustomStyle19" xfId="137"/>
    <cellStyle name="CustomStyle2" xfId="138"/>
    <cellStyle name="CustomStyle20" xfId="139"/>
    <cellStyle name="CustomStyle21" xfId="140"/>
    <cellStyle name="CustomStyle22" xfId="141"/>
    <cellStyle name="CustomStyle23" xfId="142"/>
    <cellStyle name="CustomStyle3" xfId="143"/>
    <cellStyle name="CustomStyle4" xfId="144"/>
    <cellStyle name="CustomStyle5" xfId="145"/>
    <cellStyle name="CustomStyle6" xfId="146"/>
    <cellStyle name="CustomStyle7" xfId="147"/>
    <cellStyle name="CustomStyle8" xfId="148"/>
    <cellStyle name="CustomStyle9" xfId="149"/>
    <cellStyle name="Date" xfId="150"/>
    <cellStyle name="Date 2" xfId="357"/>
    <cellStyle name="Date 3" xfId="358"/>
    <cellStyle name="Date 4" xfId="359"/>
    <cellStyle name="Date 5" xfId="360"/>
    <cellStyle name="Date Short" xfId="151"/>
    <cellStyle name="Date_Analisis de escenarios Area Virtual Movil" xfId="152"/>
    <cellStyle name="Description" xfId="153"/>
    <cellStyle name="Dia" xfId="154"/>
    <cellStyle name="Diseño" xfId="155"/>
    <cellStyle name="Encabez1" xfId="156"/>
    <cellStyle name="Encabez2" xfId="157"/>
    <cellStyle name="Enter Currency (0)" xfId="158"/>
    <cellStyle name="Enter Currency (2)" xfId="159"/>
    <cellStyle name="Enter Units (0)" xfId="160"/>
    <cellStyle name="Enter Units (1)" xfId="161"/>
    <cellStyle name="Enter Units (2)" xfId="162"/>
    <cellStyle name="Entrée" xfId="163"/>
    <cellStyle name="Estilo 1" xfId="164"/>
    <cellStyle name="Euro" xfId="165"/>
    <cellStyle name="Explanatory Text" xfId="166"/>
    <cellStyle name="F2" xfId="167"/>
    <cellStyle name="F3" xfId="168"/>
    <cellStyle name="F4" xfId="169"/>
    <cellStyle name="F5" xfId="170"/>
    <cellStyle name="F6" xfId="171"/>
    <cellStyle name="F7" xfId="172"/>
    <cellStyle name="F8" xfId="173"/>
    <cellStyle name="Fijo" xfId="174"/>
    <cellStyle name="Finan?ní0" xfId="175"/>
    <cellStyle name="Financiero" xfId="176"/>
    <cellStyle name="Finanční0" xfId="177"/>
    <cellStyle name="Fixed" xfId="178"/>
    <cellStyle name="Fixed 2" xfId="361"/>
    <cellStyle name="Fixed 3" xfId="362"/>
    <cellStyle name="Fixed 4" xfId="363"/>
    <cellStyle name="Fixed 5" xfId="364"/>
    <cellStyle name="Footnote" xfId="179"/>
    <cellStyle name="Good" xfId="180"/>
    <cellStyle name="Grey" xfId="181"/>
    <cellStyle name="Grey 2" xfId="365"/>
    <cellStyle name="Grey 3" xfId="366"/>
    <cellStyle name="Grey_2009Q2_Reporte_Osiptel" xfId="367"/>
    <cellStyle name="H4" xfId="182"/>
    <cellStyle name="Header" xfId="183"/>
    <cellStyle name="Header1" xfId="184"/>
    <cellStyle name="Header2" xfId="185"/>
    <cellStyle name="Heading 1" xfId="186"/>
    <cellStyle name="Heading 1 2" xfId="368"/>
    <cellStyle name="Heading 1 3" xfId="369"/>
    <cellStyle name="Heading 1 4" xfId="370"/>
    <cellStyle name="Heading 1 5" xfId="371"/>
    <cellStyle name="Heading 1_INGENIERÍA" xfId="372"/>
    <cellStyle name="Heading 2" xfId="187"/>
    <cellStyle name="Heading 2 2" xfId="373"/>
    <cellStyle name="Heading 2 3" xfId="374"/>
    <cellStyle name="Heading 2 4" xfId="375"/>
    <cellStyle name="Heading 2 5" xfId="376"/>
    <cellStyle name="Heading 2_INGENIERÍA" xfId="377"/>
    <cellStyle name="Heading 3" xfId="188"/>
    <cellStyle name="Heading 4" xfId="189"/>
    <cellStyle name="Helv 10 Bold" xfId="314"/>
    <cellStyle name="Helv 12 Bold" xfId="315"/>
    <cellStyle name="Hidden" xfId="190"/>
    <cellStyle name="Hipervínculo 2" xfId="402"/>
    <cellStyle name="InLink" xfId="191"/>
    <cellStyle name="Input" xfId="192"/>
    <cellStyle name="Input [yellow]" xfId="193"/>
    <cellStyle name="Input [yellow] 2" xfId="378"/>
    <cellStyle name="Input [yellow] 3" xfId="379"/>
    <cellStyle name="Input [yellow]_2009Q2_Reporte_Osiptel" xfId="380"/>
    <cellStyle name="Input Cells" xfId="194"/>
    <cellStyle name="Input_00 Costos Plataforma de Pago" xfId="195"/>
    <cellStyle name="Jun" xfId="196"/>
    <cellStyle name="Komma [0]_RESULTS" xfId="197"/>
    <cellStyle name="Komma_RESULTS" xfId="198"/>
    <cellStyle name="Link" xfId="199"/>
    <cellStyle name="Link Currency (0)" xfId="200"/>
    <cellStyle name="Link Currency (2)" xfId="201"/>
    <cellStyle name="Link Units (0)" xfId="202"/>
    <cellStyle name="Link Units (1)" xfId="203"/>
    <cellStyle name="Link Units (2)" xfId="204"/>
    <cellStyle name="Linked Cell" xfId="205"/>
    <cellStyle name="Linked Cells" xfId="206"/>
    <cellStyle name="Lock" xfId="207"/>
    <cellStyle name="Lock partiel" xfId="208"/>
    <cellStyle name="Migliaia_Foglio1" xfId="209"/>
    <cellStyle name="Millares" xfId="2" builtinId="3"/>
    <cellStyle name="Millares [0] 2" xfId="210"/>
    <cellStyle name="Millares [0] 3" xfId="211"/>
    <cellStyle name="Millares 2" xfId="212"/>
    <cellStyle name="Millares 2 2" xfId="213"/>
    <cellStyle name="Millares 2 3" xfId="214"/>
    <cellStyle name="Millares 2 4" xfId="215"/>
    <cellStyle name="Millares 3" xfId="216"/>
    <cellStyle name="Millares 4" xfId="287"/>
    <cellStyle name="Milliers [0]_NEGS" xfId="217"/>
    <cellStyle name="Milliers_NEGS" xfId="218"/>
    <cellStyle name="Millions" xfId="219"/>
    <cellStyle name="Model" xfId="220"/>
    <cellStyle name="Moeda [0]_BZL98FC6" xfId="316"/>
    <cellStyle name="Moeda_BZL98FC6" xfId="317"/>
    <cellStyle name="Moneda 2" xfId="4"/>
    <cellStyle name="Monetario" xfId="221"/>
    <cellStyle name="neg0.0" xfId="222"/>
    <cellStyle name="no dec" xfId="223"/>
    <cellStyle name="no dec 2" xfId="381"/>
    <cellStyle name="no dec 3" xfId="382"/>
    <cellStyle name="no dec 4" xfId="383"/>
    <cellStyle name="no dec 5" xfId="384"/>
    <cellStyle name="no dec_INGENIERÍA" xfId="385"/>
    <cellStyle name="Normal" xfId="0" builtinId="0"/>
    <cellStyle name="Normal - Style1" xfId="224"/>
    <cellStyle name="Normal - Style1 2" xfId="386"/>
    <cellStyle name="Normal - Style1 3" xfId="387"/>
    <cellStyle name="Normal - Style1 4" xfId="388"/>
    <cellStyle name="Normal - Style1 5" xfId="389"/>
    <cellStyle name="Normal - Style1_Nextel del Perú S A  - información periódica 3er trimestre de 2009 (OSIPTEL)" xfId="390"/>
    <cellStyle name="Normal 2" xfId="225"/>
    <cellStyle name="Normal 22" xfId="403"/>
    <cellStyle name="Normal 3" xfId="226"/>
    <cellStyle name="Normal 4" xfId="227"/>
    <cellStyle name="Normal 5" xfId="286"/>
    <cellStyle name="Normal Font Size" xfId="228"/>
    <cellStyle name="Normal_SERVICIO MOVIL (3)" xfId="285"/>
    <cellStyle name="Normale_EcoFin 1 01-12-00" xfId="229"/>
    <cellStyle name="Normalny_56.Podstawowe dane o woj.(1)" xfId="230"/>
    <cellStyle name="Note" xfId="231"/>
    <cellStyle name="Number" xfId="232"/>
    <cellStyle name="Obsolete" xfId="233"/>
    <cellStyle name="Œ…‹æØ‚è [0.00]_laroux" xfId="234"/>
    <cellStyle name="Œ…‹æØ‚è_laroux" xfId="235"/>
    <cellStyle name="One-Decimal" xfId="236"/>
    <cellStyle name="Output" xfId="237"/>
    <cellStyle name="Output Amounts" xfId="318"/>
    <cellStyle name="Output Amounts 2" xfId="391"/>
    <cellStyle name="Output Amounts 3" xfId="392"/>
    <cellStyle name="Output Amounts_2009Q2_Reporte_Osiptel" xfId="393"/>
    <cellStyle name="Output Column Headings" xfId="319"/>
    <cellStyle name="Output Line Items" xfId="320"/>
    <cellStyle name="Output Report Heading" xfId="321"/>
    <cellStyle name="Output Report Title" xfId="322"/>
    <cellStyle name="per.style" xfId="238"/>
    <cellStyle name="Percent (0)" xfId="239"/>
    <cellStyle name="Percent [0]" xfId="240"/>
    <cellStyle name="Percent [00]" xfId="241"/>
    <cellStyle name="Percent [2]" xfId="242"/>
    <cellStyle name="Percent [2] 2" xfId="394"/>
    <cellStyle name="Percent [2] 3" xfId="395"/>
    <cellStyle name="Percent [2] 4" xfId="396"/>
    <cellStyle name="Percent [2] 5" xfId="397"/>
    <cellStyle name="Percent-0.0%" xfId="323"/>
    <cellStyle name="Percent-no dec" xfId="324"/>
    <cellStyle name="Porcentaje" xfId="3"/>
    <cellStyle name="Porcentual" xfId="405" builtinId="5"/>
    <cellStyle name="Porcentual 2" xfId="243"/>
    <cellStyle name="Porcentual 3" xfId="244"/>
    <cellStyle name="Porcentual 4" xfId="245"/>
    <cellStyle name="Porcentual 5" xfId="404"/>
    <cellStyle name="PrePop Currency (0)" xfId="246"/>
    <cellStyle name="PrePop Currency (2)" xfId="247"/>
    <cellStyle name="PrePop Units (0)" xfId="248"/>
    <cellStyle name="PrePop Units (1)" xfId="249"/>
    <cellStyle name="PrePop Units (2)" xfId="250"/>
    <cellStyle name="Pricing" xfId="251"/>
    <cellStyle name="Product Sub-Headng" xfId="252"/>
    <cellStyle name="PSChar" xfId="253"/>
    <cellStyle name="PSDate" xfId="254"/>
    <cellStyle name="PSDec" xfId="255"/>
    <cellStyle name="PSHeading" xfId="256"/>
    <cellStyle name="PSInt" xfId="257"/>
    <cellStyle name="PSSpacer" xfId="258"/>
    <cellStyle name="Red" xfId="325"/>
    <cellStyle name="Ref Numbers" xfId="259"/>
    <cellStyle name="RM" xfId="260"/>
    <cellStyle name="Separador de milhares [0]_IB06" xfId="326"/>
    <cellStyle name="Separador de milhares_IB06" xfId="327"/>
    <cellStyle name="Small Print" xfId="261"/>
    <cellStyle name="Source Line" xfId="262"/>
    <cellStyle name="Style 1" xfId="263"/>
    <cellStyle name="subhead" xfId="264"/>
    <cellStyle name="Subtitle" xfId="265"/>
    <cellStyle name="Table Heading" xfId="266"/>
    <cellStyle name="Table-#" xfId="267"/>
    <cellStyle name="Table-Headings" xfId="268"/>
    <cellStyle name="Table-Titles" xfId="269"/>
    <cellStyle name="taples Plaza" xfId="270"/>
    <cellStyle name="Text Indent A" xfId="271"/>
    <cellStyle name="Text Indent B" xfId="272"/>
    <cellStyle name="Text Indent C" xfId="273"/>
    <cellStyle name="Thousands" xfId="274"/>
    <cellStyle name="Thousands [0]" xfId="275"/>
    <cellStyle name="Title" xfId="276"/>
    <cellStyle name="Title Line" xfId="277"/>
    <cellStyle name="Top Row" xfId="278"/>
    <cellStyle name="Total 2" xfId="398"/>
    <cellStyle name="Total 3" xfId="399"/>
    <cellStyle name="Total 4" xfId="400"/>
    <cellStyle name="Total 5" xfId="401"/>
    <cellStyle name="Total Row" xfId="279"/>
    <cellStyle name="Unsure" xfId="280"/>
    <cellStyle name="Valuta [0]_RESULTS" xfId="281"/>
    <cellStyle name="Valuta_RESULTS" xfId="282"/>
    <cellStyle name="Warning Text" xfId="283"/>
    <cellStyle name="一般_1999_CORP ACCTG" xfId="328"/>
    <cellStyle name="千分位[0]_PERSONAL" xfId="329"/>
    <cellStyle name="千分位_PERSONAL" xfId="330"/>
    <cellStyle name="標準_1951_0006" xfId="284"/>
    <cellStyle name="貨幣 [0]_PERSONAL" xfId="331"/>
    <cellStyle name="貨幣_PERSONAL" xfId="332"/>
  </cellStyles>
  <dxfs count="2">
    <dxf>
      <font>
        <color theme="0"/>
      </font>
    </dxf>
    <dxf>
      <font>
        <b val="0"/>
        <i val="0"/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9" defaultPivotStyle="PivotStyleLight16"/>
  <colors>
    <mruColors>
      <color rgb="FFCC661A"/>
      <color rgb="FF527EB6"/>
      <color rgb="FF80808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438150</xdr:colOff>
      <xdr:row>1</xdr:row>
      <xdr:rowOff>85725</xdr:rowOff>
    </xdr:from>
    <xdr:to>
      <xdr:col>16</xdr:col>
      <xdr:colOff>237960</xdr:colOff>
      <xdr:row>3</xdr:row>
      <xdr:rowOff>38057</xdr:rowOff>
    </xdr:to>
    <xdr:pic>
      <xdr:nvPicPr>
        <xdr:cNvPr id="102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620375" y="247650"/>
          <a:ext cx="1323810" cy="3428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</xdr:row>
      <xdr:rowOff>57150</xdr:rowOff>
    </xdr:from>
    <xdr:to>
      <xdr:col>4</xdr:col>
      <xdr:colOff>66366</xdr:colOff>
      <xdr:row>8</xdr:row>
      <xdr:rowOff>95185</xdr:rowOff>
    </xdr:to>
    <xdr:pic>
      <xdr:nvPicPr>
        <xdr:cNvPr id="1026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0" y="942975"/>
          <a:ext cx="2476191" cy="523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3145156</xdr:colOff>
      <xdr:row>4</xdr:row>
      <xdr:rowOff>38100</xdr:rowOff>
    </xdr:from>
    <xdr:to>
      <xdr:col>0</xdr:col>
      <xdr:colOff>3190875</xdr:colOff>
      <xdr:row>5</xdr:row>
      <xdr:rowOff>123825</xdr:rowOff>
    </xdr:to>
    <xdr:sp macro="" textlink="">
      <xdr:nvSpPr>
        <xdr:cNvPr id="5" name="4 Cerrar llave"/>
        <xdr:cNvSpPr/>
      </xdr:nvSpPr>
      <xdr:spPr>
        <a:xfrm>
          <a:off x="4316731" y="714375"/>
          <a:ext cx="45719" cy="2476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0</xdr:col>
      <xdr:colOff>3707131</xdr:colOff>
      <xdr:row>7</xdr:row>
      <xdr:rowOff>28575</xdr:rowOff>
    </xdr:from>
    <xdr:to>
      <xdr:col>0</xdr:col>
      <xdr:colOff>3752850</xdr:colOff>
      <xdr:row>8</xdr:row>
      <xdr:rowOff>114300</xdr:rowOff>
    </xdr:to>
    <xdr:sp macro="" textlink="">
      <xdr:nvSpPr>
        <xdr:cNvPr id="6" name="5 Cerrar llave"/>
        <xdr:cNvSpPr/>
      </xdr:nvSpPr>
      <xdr:spPr>
        <a:xfrm>
          <a:off x="4878706" y="1190625"/>
          <a:ext cx="45719" cy="2476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visory\Forecasts%20for%20Telecoms%20and%20Mobile\2001_4q\Forecasts\Mobile\AME\CTYWKBKS\LA\MEX9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MEX95IB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"/>
  <sheetViews>
    <sheetView zoomScaleNormal="100" workbookViewId="0">
      <selection activeCell="D2" sqref="D2"/>
    </sheetView>
  </sheetViews>
  <sheetFormatPr baseColWidth="10" defaultRowHeight="15"/>
  <cols>
    <col min="1" max="1" width="14.140625" bestFit="1" customWidth="1"/>
    <col min="2" max="2" width="19.42578125" bestFit="1" customWidth="1"/>
    <col min="3" max="3" width="11.42578125" customWidth="1"/>
    <col min="7" max="8" width="11.42578125" customWidth="1"/>
  </cols>
  <sheetData>
    <row r="1" spans="1:6" ht="15.75" thickBot="1">
      <c r="A1" s="33"/>
      <c r="B1" s="35" t="s">
        <v>86</v>
      </c>
      <c r="C1" s="33"/>
      <c r="D1" s="35" t="s">
        <v>88</v>
      </c>
      <c r="E1" s="35" t="s">
        <v>87</v>
      </c>
      <c r="F1" s="35" t="s">
        <v>120</v>
      </c>
    </row>
    <row r="2" spans="1:6" ht="24" thickBot="1">
      <c r="A2" s="36" t="s">
        <v>233</v>
      </c>
      <c r="B2" s="37">
        <f>RESULTADOS!K8</f>
        <v>1.627707132461676E-4</v>
      </c>
      <c r="C2" s="33"/>
      <c r="D2" s="37">
        <f>RESULTADOS!K10</f>
        <v>2.0313448481750526E-5</v>
      </c>
      <c r="E2" s="37">
        <f>RESULTADOS!K11</f>
        <v>1.2765992719658364E-4</v>
      </c>
      <c r="F2" s="37">
        <f>RESULTADOS!K13</f>
        <v>1.4797337567833418E-5</v>
      </c>
    </row>
    <row r="3" spans="1:6" ht="24" thickBot="1">
      <c r="A3" s="36" t="s">
        <v>234</v>
      </c>
      <c r="B3" s="264">
        <f>'OPEX Tarjetas'!N25/Tarjetas!N52</f>
        <v>8.6065573770491791E-3</v>
      </c>
      <c r="C3" s="33"/>
      <c r="D3" s="34">
        <f>D2/$B$2</f>
        <v>0.12479793248205111</v>
      </c>
      <c r="E3" s="34">
        <f>E2/$B$2</f>
        <v>0.78429297660885788</v>
      </c>
      <c r="F3" s="34">
        <f>F2/$B$2</f>
        <v>9.0909090909090912E-2</v>
      </c>
    </row>
  </sheetData>
  <conditionalFormatting sqref="B3">
    <cfRule type="expression" dxfId="1" priority="13">
      <formula>#REF!="No"</formula>
    </cfRule>
    <cfRule type="expression" priority="14">
      <formula>CARGO_POR_PARTES="No"</formula>
    </cfRule>
  </conditionalFormatting>
  <conditionalFormatting sqref="A3">
    <cfRule type="expression" dxfId="0" priority="15">
      <formula>#REF!="No"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8"/>
  <sheetViews>
    <sheetView workbookViewId="0">
      <selection activeCell="N17" sqref="N17"/>
    </sheetView>
  </sheetViews>
  <sheetFormatPr baseColWidth="10" defaultColWidth="9.140625" defaultRowHeight="15"/>
  <cols>
    <col min="1" max="1" width="7.42578125" customWidth="1"/>
    <col min="2" max="13" width="14" bestFit="1" customWidth="1"/>
    <col min="14" max="14" width="15.5703125" bestFit="1" customWidth="1"/>
  </cols>
  <sheetData>
    <row r="1" spans="1:14" ht="18.75">
      <c r="A1" s="198" t="s">
        <v>189</v>
      </c>
    </row>
    <row r="2" spans="1:14">
      <c r="A2" s="199"/>
      <c r="B2" s="282">
        <v>39814</v>
      </c>
      <c r="C2" s="283">
        <v>39845</v>
      </c>
      <c r="D2" s="283">
        <v>39873</v>
      </c>
      <c r="E2" s="283">
        <v>39904</v>
      </c>
      <c r="F2" s="283">
        <v>39934</v>
      </c>
      <c r="G2" s="283">
        <v>39965</v>
      </c>
      <c r="H2" s="283">
        <v>39995</v>
      </c>
      <c r="I2" s="283">
        <v>40026</v>
      </c>
      <c r="J2" s="283">
        <v>40057</v>
      </c>
      <c r="K2" s="283">
        <v>40087</v>
      </c>
      <c r="L2" s="283">
        <v>40118</v>
      </c>
      <c r="M2" s="284">
        <v>40148</v>
      </c>
      <c r="N2" s="284" t="s">
        <v>38</v>
      </c>
    </row>
    <row r="3" spans="1:14">
      <c r="A3" s="276">
        <v>10</v>
      </c>
      <c r="B3" s="373">
        <v>10000</v>
      </c>
      <c r="C3" s="373">
        <v>10000</v>
      </c>
      <c r="D3" s="373">
        <v>10000</v>
      </c>
      <c r="E3" s="373">
        <v>10000</v>
      </c>
      <c r="F3" s="373">
        <v>10000</v>
      </c>
      <c r="G3" s="373">
        <v>10000</v>
      </c>
      <c r="H3" s="373">
        <v>10000</v>
      </c>
      <c r="I3" s="373">
        <v>10000</v>
      </c>
      <c r="J3" s="373">
        <v>10000</v>
      </c>
      <c r="K3" s="373">
        <v>10000</v>
      </c>
      <c r="L3" s="373">
        <v>10000</v>
      </c>
      <c r="M3" s="374">
        <v>10000</v>
      </c>
      <c r="N3" s="200">
        <f>SUM(B3:M3)</f>
        <v>120000</v>
      </c>
    </row>
    <row r="4" spans="1:14">
      <c r="A4" s="276">
        <v>20</v>
      </c>
      <c r="B4" s="373">
        <v>50000</v>
      </c>
      <c r="C4" s="373">
        <v>50000</v>
      </c>
      <c r="D4" s="373">
        <v>50000</v>
      </c>
      <c r="E4" s="373">
        <v>50000</v>
      </c>
      <c r="F4" s="373">
        <v>50000</v>
      </c>
      <c r="G4" s="373">
        <v>50000</v>
      </c>
      <c r="H4" s="373">
        <v>50000</v>
      </c>
      <c r="I4" s="373">
        <v>50000</v>
      </c>
      <c r="J4" s="373">
        <v>50000</v>
      </c>
      <c r="K4" s="373">
        <v>50000</v>
      </c>
      <c r="L4" s="373">
        <v>50000</v>
      </c>
      <c r="M4" s="374">
        <v>50000</v>
      </c>
      <c r="N4" s="201">
        <f>SUM(B4:M4)</f>
        <v>600000</v>
      </c>
    </row>
    <row r="5" spans="1:14">
      <c r="A5" s="276">
        <v>40</v>
      </c>
      <c r="B5" s="373">
        <v>100000</v>
      </c>
      <c r="C5" s="373">
        <v>100000</v>
      </c>
      <c r="D5" s="373">
        <v>100000</v>
      </c>
      <c r="E5" s="373">
        <v>100000</v>
      </c>
      <c r="F5" s="373">
        <v>100000</v>
      </c>
      <c r="G5" s="373">
        <v>100000</v>
      </c>
      <c r="H5" s="373">
        <v>100000</v>
      </c>
      <c r="I5" s="373">
        <v>100000</v>
      </c>
      <c r="J5" s="373">
        <v>100000</v>
      </c>
      <c r="K5" s="373">
        <v>100000</v>
      </c>
      <c r="L5" s="373">
        <v>100000</v>
      </c>
      <c r="M5" s="374">
        <v>100000</v>
      </c>
      <c r="N5" s="201">
        <f>SUM(B5:M5)</f>
        <v>1200000</v>
      </c>
    </row>
    <row r="6" spans="1:14">
      <c r="A6" s="276">
        <v>60</v>
      </c>
      <c r="B6" s="373">
        <v>500000</v>
      </c>
      <c r="C6" s="373">
        <v>500000</v>
      </c>
      <c r="D6" s="373">
        <v>500000</v>
      </c>
      <c r="E6" s="373">
        <v>500000</v>
      </c>
      <c r="F6" s="373">
        <v>500000</v>
      </c>
      <c r="G6" s="373">
        <v>500000</v>
      </c>
      <c r="H6" s="373">
        <v>500000</v>
      </c>
      <c r="I6" s="373">
        <v>500000</v>
      </c>
      <c r="J6" s="373">
        <v>500000</v>
      </c>
      <c r="K6" s="373">
        <v>500000</v>
      </c>
      <c r="L6" s="373">
        <v>500000</v>
      </c>
      <c r="M6" s="374">
        <v>500000</v>
      </c>
      <c r="N6" s="201">
        <f>SUM(B6:M6)</f>
        <v>6000000</v>
      </c>
    </row>
    <row r="7" spans="1:14">
      <c r="A7" s="276">
        <v>100</v>
      </c>
      <c r="B7" s="375">
        <v>1000000</v>
      </c>
      <c r="C7" s="375">
        <v>1000000</v>
      </c>
      <c r="D7" s="375">
        <v>1000000</v>
      </c>
      <c r="E7" s="375">
        <v>1000000</v>
      </c>
      <c r="F7" s="375">
        <v>1000000</v>
      </c>
      <c r="G7" s="375">
        <v>1000000</v>
      </c>
      <c r="H7" s="375">
        <v>1000000</v>
      </c>
      <c r="I7" s="375">
        <v>1000000</v>
      </c>
      <c r="J7" s="375">
        <v>1000000</v>
      </c>
      <c r="K7" s="375">
        <v>1000000</v>
      </c>
      <c r="L7" s="375">
        <v>1000000</v>
      </c>
      <c r="M7" s="376">
        <v>1000000</v>
      </c>
      <c r="N7" s="202">
        <f>SUM(B7:M7)</f>
        <v>12000000</v>
      </c>
    </row>
    <row r="8" spans="1:14">
      <c r="A8" s="203" t="s">
        <v>38</v>
      </c>
      <c r="B8" s="204">
        <f>SUM(B3:B7)</f>
        <v>1660000</v>
      </c>
      <c r="C8" s="204">
        <f t="shared" ref="C8:N8" si="0">SUM(C3:C7)</f>
        <v>1660000</v>
      </c>
      <c r="D8" s="204">
        <f t="shared" si="0"/>
        <v>1660000</v>
      </c>
      <c r="E8" s="204">
        <f t="shared" si="0"/>
        <v>1660000</v>
      </c>
      <c r="F8" s="204">
        <f t="shared" si="0"/>
        <v>1660000</v>
      </c>
      <c r="G8" s="204">
        <f t="shared" si="0"/>
        <v>1660000</v>
      </c>
      <c r="H8" s="204">
        <f t="shared" si="0"/>
        <v>1660000</v>
      </c>
      <c r="I8" s="204">
        <f t="shared" si="0"/>
        <v>1660000</v>
      </c>
      <c r="J8" s="204">
        <f t="shared" si="0"/>
        <v>1660000</v>
      </c>
      <c r="K8" s="204">
        <f t="shared" si="0"/>
        <v>1660000</v>
      </c>
      <c r="L8" s="204">
        <f t="shared" si="0"/>
        <v>1660000</v>
      </c>
      <c r="M8" s="204">
        <f t="shared" si="0"/>
        <v>1660000</v>
      </c>
      <c r="N8" s="205">
        <f t="shared" si="0"/>
        <v>19920000</v>
      </c>
    </row>
    <row r="11" spans="1:14" ht="18.75">
      <c r="A11" s="206" t="s">
        <v>190</v>
      </c>
      <c r="B11" s="207"/>
      <c r="C11" s="207"/>
      <c r="D11" s="207"/>
      <c r="E11" s="207"/>
      <c r="F11" s="207"/>
    </row>
    <row r="12" spans="1:14">
      <c r="A12" s="199"/>
      <c r="B12" s="285">
        <v>39814</v>
      </c>
      <c r="C12" s="286">
        <v>39845</v>
      </c>
      <c r="D12" s="286">
        <v>39873</v>
      </c>
      <c r="E12" s="286">
        <v>39904</v>
      </c>
      <c r="F12" s="286">
        <v>39934</v>
      </c>
      <c r="G12" s="286">
        <v>39965</v>
      </c>
      <c r="H12" s="286">
        <v>39995</v>
      </c>
      <c r="I12" s="286">
        <v>40026</v>
      </c>
      <c r="J12" s="286">
        <v>40057</v>
      </c>
      <c r="K12" s="286">
        <v>40087</v>
      </c>
      <c r="L12" s="286">
        <v>40118</v>
      </c>
      <c r="M12" s="287">
        <v>40148</v>
      </c>
      <c r="N12" s="287" t="s">
        <v>38</v>
      </c>
    </row>
    <row r="13" spans="1:14">
      <c r="A13" s="276">
        <v>10</v>
      </c>
      <c r="B13" s="373">
        <v>9000</v>
      </c>
      <c r="C13" s="373">
        <v>9000</v>
      </c>
      <c r="D13" s="373">
        <v>9000</v>
      </c>
      <c r="E13" s="373">
        <v>9000</v>
      </c>
      <c r="F13" s="373">
        <v>9000</v>
      </c>
      <c r="G13" s="373">
        <v>9000</v>
      </c>
      <c r="H13" s="373">
        <v>9000</v>
      </c>
      <c r="I13" s="373">
        <v>9000</v>
      </c>
      <c r="J13" s="373">
        <v>9000</v>
      </c>
      <c r="K13" s="373">
        <v>9000</v>
      </c>
      <c r="L13" s="373">
        <v>9000</v>
      </c>
      <c r="M13" s="374">
        <v>9000</v>
      </c>
      <c r="N13" s="200">
        <f>SUM(B13:M13)</f>
        <v>108000</v>
      </c>
    </row>
    <row r="14" spans="1:14">
      <c r="A14" s="276">
        <v>20</v>
      </c>
      <c r="B14" s="373">
        <v>45000</v>
      </c>
      <c r="C14" s="373">
        <v>45000</v>
      </c>
      <c r="D14" s="373">
        <v>45000</v>
      </c>
      <c r="E14" s="373">
        <v>45000</v>
      </c>
      <c r="F14" s="373">
        <v>45000</v>
      </c>
      <c r="G14" s="373">
        <v>45000</v>
      </c>
      <c r="H14" s="373">
        <v>45000</v>
      </c>
      <c r="I14" s="373">
        <v>45000</v>
      </c>
      <c r="J14" s="373">
        <v>45000</v>
      </c>
      <c r="K14" s="373">
        <v>45000</v>
      </c>
      <c r="L14" s="373">
        <v>45000</v>
      </c>
      <c r="M14" s="374">
        <v>45000</v>
      </c>
      <c r="N14" s="201">
        <f>SUM(B14:M14)</f>
        <v>540000</v>
      </c>
    </row>
    <row r="15" spans="1:14">
      <c r="A15" s="276">
        <v>40</v>
      </c>
      <c r="B15" s="373">
        <v>90000</v>
      </c>
      <c r="C15" s="373">
        <v>90000</v>
      </c>
      <c r="D15" s="373">
        <v>90000</v>
      </c>
      <c r="E15" s="373">
        <v>90000</v>
      </c>
      <c r="F15" s="373">
        <v>90000</v>
      </c>
      <c r="G15" s="373">
        <v>90000</v>
      </c>
      <c r="H15" s="373">
        <v>90000</v>
      </c>
      <c r="I15" s="373">
        <v>90000</v>
      </c>
      <c r="J15" s="373">
        <v>90000</v>
      </c>
      <c r="K15" s="373">
        <v>90000</v>
      </c>
      <c r="L15" s="373">
        <v>90000</v>
      </c>
      <c r="M15" s="374">
        <v>90000</v>
      </c>
      <c r="N15" s="201">
        <f>SUM(B15:M15)</f>
        <v>1080000</v>
      </c>
    </row>
    <row r="16" spans="1:14">
      <c r="A16" s="276">
        <v>60</v>
      </c>
      <c r="B16" s="373">
        <v>450000</v>
      </c>
      <c r="C16" s="373">
        <v>450000</v>
      </c>
      <c r="D16" s="373">
        <v>450000</v>
      </c>
      <c r="E16" s="373">
        <v>450000</v>
      </c>
      <c r="F16" s="373">
        <v>450000</v>
      </c>
      <c r="G16" s="373">
        <v>450000</v>
      </c>
      <c r="H16" s="373">
        <v>450000</v>
      </c>
      <c r="I16" s="373">
        <v>450000</v>
      </c>
      <c r="J16" s="373">
        <v>450000</v>
      </c>
      <c r="K16" s="373">
        <v>450000</v>
      </c>
      <c r="L16" s="373">
        <v>450000</v>
      </c>
      <c r="M16" s="374">
        <v>450000</v>
      </c>
      <c r="N16" s="201">
        <f>SUM(B16:M16)</f>
        <v>5400000</v>
      </c>
    </row>
    <row r="17" spans="1:14">
      <c r="A17" s="276">
        <v>100</v>
      </c>
      <c r="B17" s="375">
        <v>900000</v>
      </c>
      <c r="C17" s="375">
        <v>900000</v>
      </c>
      <c r="D17" s="375">
        <v>900000</v>
      </c>
      <c r="E17" s="375">
        <v>900000</v>
      </c>
      <c r="F17" s="375">
        <v>900000</v>
      </c>
      <c r="G17" s="375">
        <v>900000</v>
      </c>
      <c r="H17" s="375">
        <v>900000</v>
      </c>
      <c r="I17" s="375">
        <v>900000</v>
      </c>
      <c r="J17" s="375">
        <v>900000</v>
      </c>
      <c r="K17" s="375">
        <v>900000</v>
      </c>
      <c r="L17" s="375">
        <v>900000</v>
      </c>
      <c r="M17" s="376">
        <v>900000</v>
      </c>
      <c r="N17" s="202">
        <f>SUM(B17:M17)</f>
        <v>10800000</v>
      </c>
    </row>
    <row r="18" spans="1:14">
      <c r="A18" s="203" t="s">
        <v>38</v>
      </c>
      <c r="B18" s="204">
        <f t="shared" ref="B18:N18" si="1">SUM(B13:B17)</f>
        <v>1494000</v>
      </c>
      <c r="C18" s="204">
        <f t="shared" si="1"/>
        <v>1494000</v>
      </c>
      <c r="D18" s="204">
        <f t="shared" si="1"/>
        <v>1494000</v>
      </c>
      <c r="E18" s="204">
        <f t="shared" si="1"/>
        <v>1494000</v>
      </c>
      <c r="F18" s="204">
        <f t="shared" si="1"/>
        <v>1494000</v>
      </c>
      <c r="G18" s="204">
        <f t="shared" si="1"/>
        <v>1494000</v>
      </c>
      <c r="H18" s="204">
        <f t="shared" si="1"/>
        <v>1494000</v>
      </c>
      <c r="I18" s="204">
        <f t="shared" si="1"/>
        <v>1494000</v>
      </c>
      <c r="J18" s="204">
        <f t="shared" si="1"/>
        <v>1494000</v>
      </c>
      <c r="K18" s="204">
        <f t="shared" si="1"/>
        <v>1494000</v>
      </c>
      <c r="L18" s="204">
        <f t="shared" si="1"/>
        <v>1494000</v>
      </c>
      <c r="M18" s="204">
        <f t="shared" si="1"/>
        <v>1494000</v>
      </c>
      <c r="N18" s="208">
        <f t="shared" si="1"/>
        <v>17928000</v>
      </c>
    </row>
    <row r="21" spans="1:14" ht="18.75">
      <c r="A21" s="198" t="s">
        <v>191</v>
      </c>
      <c r="N21" t="s">
        <v>192</v>
      </c>
    </row>
    <row r="22" spans="1:14">
      <c r="A22" s="199"/>
      <c r="B22" s="285">
        <v>39814</v>
      </c>
      <c r="C22" s="286">
        <v>39845</v>
      </c>
      <c r="D22" s="286">
        <v>39873</v>
      </c>
      <c r="E22" s="286">
        <v>39904</v>
      </c>
      <c r="F22" s="286">
        <v>39934</v>
      </c>
      <c r="G22" s="286">
        <v>39965</v>
      </c>
      <c r="H22" s="286">
        <v>39995</v>
      </c>
      <c r="I22" s="286">
        <v>40026</v>
      </c>
      <c r="J22" s="286">
        <v>40057</v>
      </c>
      <c r="K22" s="286">
        <v>40087</v>
      </c>
      <c r="L22" s="286">
        <v>40118</v>
      </c>
      <c r="M22" s="287">
        <v>40148</v>
      </c>
      <c r="N22" s="287" t="s">
        <v>38</v>
      </c>
    </row>
    <row r="23" spans="1:14">
      <c r="A23" s="276">
        <v>10</v>
      </c>
      <c r="B23" s="389">
        <f>B13*$A23</f>
        <v>90000</v>
      </c>
      <c r="C23" s="389">
        <f t="shared" ref="C23:M23" si="2">C13*$A23</f>
        <v>90000</v>
      </c>
      <c r="D23" s="389">
        <f t="shared" si="2"/>
        <v>90000</v>
      </c>
      <c r="E23" s="389">
        <f t="shared" si="2"/>
        <v>90000</v>
      </c>
      <c r="F23" s="389">
        <f t="shared" si="2"/>
        <v>90000</v>
      </c>
      <c r="G23" s="389">
        <f t="shared" si="2"/>
        <v>90000</v>
      </c>
      <c r="H23" s="389">
        <f t="shared" si="2"/>
        <v>90000</v>
      </c>
      <c r="I23" s="389">
        <f t="shared" si="2"/>
        <v>90000</v>
      </c>
      <c r="J23" s="389">
        <f t="shared" si="2"/>
        <v>90000</v>
      </c>
      <c r="K23" s="389">
        <f t="shared" si="2"/>
        <v>90000</v>
      </c>
      <c r="L23" s="389">
        <f t="shared" si="2"/>
        <v>90000</v>
      </c>
      <c r="M23" s="389">
        <f t="shared" si="2"/>
        <v>90000</v>
      </c>
      <c r="N23" s="277">
        <f>SUM(B23:M23)</f>
        <v>1080000</v>
      </c>
    </row>
    <row r="24" spans="1:14">
      <c r="A24" s="276">
        <v>20</v>
      </c>
      <c r="B24" s="389">
        <f t="shared" ref="B24:M24" si="3">B14*$A24</f>
        <v>900000</v>
      </c>
      <c r="C24" s="389">
        <f t="shared" si="3"/>
        <v>900000</v>
      </c>
      <c r="D24" s="389">
        <f t="shared" si="3"/>
        <v>900000</v>
      </c>
      <c r="E24" s="389">
        <f t="shared" si="3"/>
        <v>900000</v>
      </c>
      <c r="F24" s="389">
        <f t="shared" si="3"/>
        <v>900000</v>
      </c>
      <c r="G24" s="389">
        <f t="shared" si="3"/>
        <v>900000</v>
      </c>
      <c r="H24" s="389">
        <f t="shared" si="3"/>
        <v>900000</v>
      </c>
      <c r="I24" s="389">
        <f t="shared" si="3"/>
        <v>900000</v>
      </c>
      <c r="J24" s="389">
        <f t="shared" si="3"/>
        <v>900000</v>
      </c>
      <c r="K24" s="389">
        <f t="shared" si="3"/>
        <v>900000</v>
      </c>
      <c r="L24" s="389">
        <f t="shared" si="3"/>
        <v>900000</v>
      </c>
      <c r="M24" s="389">
        <f t="shared" si="3"/>
        <v>900000</v>
      </c>
      <c r="N24" s="278">
        <f>SUM(B24:M24)</f>
        <v>10800000</v>
      </c>
    </row>
    <row r="25" spans="1:14">
      <c r="A25" s="276">
        <v>40</v>
      </c>
      <c r="B25" s="389">
        <f t="shared" ref="B25:M25" si="4">B15*$A25</f>
        <v>3600000</v>
      </c>
      <c r="C25" s="389">
        <f t="shared" si="4"/>
        <v>3600000</v>
      </c>
      <c r="D25" s="389">
        <f t="shared" si="4"/>
        <v>3600000</v>
      </c>
      <c r="E25" s="389">
        <f t="shared" si="4"/>
        <v>3600000</v>
      </c>
      <c r="F25" s="389">
        <f t="shared" si="4"/>
        <v>3600000</v>
      </c>
      <c r="G25" s="389">
        <f t="shared" si="4"/>
        <v>3600000</v>
      </c>
      <c r="H25" s="389">
        <f t="shared" si="4"/>
        <v>3600000</v>
      </c>
      <c r="I25" s="389">
        <f t="shared" si="4"/>
        <v>3600000</v>
      </c>
      <c r="J25" s="389">
        <f t="shared" si="4"/>
        <v>3600000</v>
      </c>
      <c r="K25" s="389">
        <f t="shared" si="4"/>
        <v>3600000</v>
      </c>
      <c r="L25" s="389">
        <f t="shared" si="4"/>
        <v>3600000</v>
      </c>
      <c r="M25" s="389">
        <f t="shared" si="4"/>
        <v>3600000</v>
      </c>
      <c r="N25" s="278">
        <f>SUM(B25:M25)</f>
        <v>43200000</v>
      </c>
    </row>
    <row r="26" spans="1:14">
      <c r="A26" s="276">
        <v>60</v>
      </c>
      <c r="B26" s="389">
        <f t="shared" ref="B26:M26" si="5">B16*$A26</f>
        <v>27000000</v>
      </c>
      <c r="C26" s="389">
        <f t="shared" si="5"/>
        <v>27000000</v>
      </c>
      <c r="D26" s="389">
        <f t="shared" si="5"/>
        <v>27000000</v>
      </c>
      <c r="E26" s="389">
        <f t="shared" si="5"/>
        <v>27000000</v>
      </c>
      <c r="F26" s="389">
        <f t="shared" si="5"/>
        <v>27000000</v>
      </c>
      <c r="G26" s="389">
        <f t="shared" si="5"/>
        <v>27000000</v>
      </c>
      <c r="H26" s="389">
        <f t="shared" si="5"/>
        <v>27000000</v>
      </c>
      <c r="I26" s="389">
        <f t="shared" si="5"/>
        <v>27000000</v>
      </c>
      <c r="J26" s="389">
        <f t="shared" si="5"/>
        <v>27000000</v>
      </c>
      <c r="K26" s="389">
        <f t="shared" si="5"/>
        <v>27000000</v>
      </c>
      <c r="L26" s="389">
        <f t="shared" si="5"/>
        <v>27000000</v>
      </c>
      <c r="M26" s="389">
        <f t="shared" si="5"/>
        <v>27000000</v>
      </c>
      <c r="N26" s="278">
        <f>SUM(B26:M26)</f>
        <v>324000000</v>
      </c>
    </row>
    <row r="27" spans="1:14">
      <c r="A27" s="276">
        <v>100</v>
      </c>
      <c r="B27" s="390">
        <f t="shared" ref="B27:M27" si="6">B17*$A27</f>
        <v>90000000</v>
      </c>
      <c r="C27" s="390">
        <f t="shared" si="6"/>
        <v>90000000</v>
      </c>
      <c r="D27" s="390">
        <f t="shared" si="6"/>
        <v>90000000</v>
      </c>
      <c r="E27" s="390">
        <f t="shared" si="6"/>
        <v>90000000</v>
      </c>
      <c r="F27" s="390">
        <f t="shared" si="6"/>
        <v>90000000</v>
      </c>
      <c r="G27" s="390">
        <f t="shared" si="6"/>
        <v>90000000</v>
      </c>
      <c r="H27" s="390">
        <f t="shared" si="6"/>
        <v>90000000</v>
      </c>
      <c r="I27" s="390">
        <f t="shared" si="6"/>
        <v>90000000</v>
      </c>
      <c r="J27" s="390">
        <f t="shared" si="6"/>
        <v>90000000</v>
      </c>
      <c r="K27" s="390">
        <f t="shared" si="6"/>
        <v>90000000</v>
      </c>
      <c r="L27" s="390">
        <f t="shared" si="6"/>
        <v>90000000</v>
      </c>
      <c r="M27" s="390">
        <f t="shared" si="6"/>
        <v>90000000</v>
      </c>
      <c r="N27" s="279">
        <f>SUM(B27:M27)</f>
        <v>1080000000</v>
      </c>
    </row>
    <row r="28" spans="1:14">
      <c r="A28" s="203" t="s">
        <v>38</v>
      </c>
      <c r="B28" s="280">
        <f t="shared" ref="B28:N28" si="7">SUM(B23:B27)</f>
        <v>121590000</v>
      </c>
      <c r="C28" s="280">
        <f t="shared" si="7"/>
        <v>121590000</v>
      </c>
      <c r="D28" s="280">
        <f t="shared" si="7"/>
        <v>121590000</v>
      </c>
      <c r="E28" s="280">
        <f t="shared" si="7"/>
        <v>121590000</v>
      </c>
      <c r="F28" s="280">
        <f t="shared" si="7"/>
        <v>121590000</v>
      </c>
      <c r="G28" s="280">
        <f t="shared" si="7"/>
        <v>121590000</v>
      </c>
      <c r="H28" s="280">
        <f t="shared" si="7"/>
        <v>121590000</v>
      </c>
      <c r="I28" s="280">
        <f t="shared" si="7"/>
        <v>121590000</v>
      </c>
      <c r="J28" s="280">
        <f t="shared" si="7"/>
        <v>121590000</v>
      </c>
      <c r="K28" s="280">
        <f t="shared" si="7"/>
        <v>121590000</v>
      </c>
      <c r="L28" s="280">
        <f t="shared" si="7"/>
        <v>121590000</v>
      </c>
      <c r="M28" s="280">
        <f t="shared" si="7"/>
        <v>121590000</v>
      </c>
      <c r="N28" s="281">
        <f t="shared" si="7"/>
        <v>1459080000</v>
      </c>
    </row>
    <row r="31" spans="1:14" ht="18.75">
      <c r="A31" s="206" t="s">
        <v>193</v>
      </c>
      <c r="B31" s="207"/>
      <c r="C31" s="207"/>
      <c r="D31" s="207"/>
      <c r="E31" s="207"/>
      <c r="F31" s="207"/>
    </row>
    <row r="32" spans="1:14">
      <c r="A32" s="199"/>
      <c r="B32" s="288">
        <v>39814</v>
      </c>
      <c r="C32" s="289">
        <v>39845</v>
      </c>
      <c r="D32" s="289">
        <v>39873</v>
      </c>
      <c r="E32" s="289">
        <v>39904</v>
      </c>
      <c r="F32" s="289">
        <v>39934</v>
      </c>
      <c r="G32" s="289">
        <v>39965</v>
      </c>
      <c r="H32" s="289">
        <v>39995</v>
      </c>
      <c r="I32" s="289">
        <v>40026</v>
      </c>
      <c r="J32" s="289">
        <v>40057</v>
      </c>
      <c r="K32" s="289">
        <v>40087</v>
      </c>
      <c r="L32" s="289">
        <v>40118</v>
      </c>
      <c r="M32" s="290">
        <v>40148</v>
      </c>
      <c r="N32" s="290" t="s">
        <v>38</v>
      </c>
    </row>
    <row r="33" spans="1:14">
      <c r="A33" s="276">
        <v>10</v>
      </c>
      <c r="B33" s="373">
        <v>1000</v>
      </c>
      <c r="C33" s="373">
        <v>1000</v>
      </c>
      <c r="D33" s="373">
        <v>1000</v>
      </c>
      <c r="E33" s="373">
        <v>1000</v>
      </c>
      <c r="F33" s="373">
        <v>1000</v>
      </c>
      <c r="G33" s="373">
        <v>1000</v>
      </c>
      <c r="H33" s="373">
        <v>1000</v>
      </c>
      <c r="I33" s="373">
        <v>1000</v>
      </c>
      <c r="J33" s="373">
        <v>1000</v>
      </c>
      <c r="K33" s="373">
        <v>1000</v>
      </c>
      <c r="L33" s="373">
        <v>1000</v>
      </c>
      <c r="M33" s="373">
        <v>1000</v>
      </c>
      <c r="N33" s="200">
        <f>SUM(B33:M33)</f>
        <v>12000</v>
      </c>
    </row>
    <row r="34" spans="1:14">
      <c r="A34" s="276">
        <v>20</v>
      </c>
      <c r="B34" s="373">
        <v>2000</v>
      </c>
      <c r="C34" s="373">
        <v>2000</v>
      </c>
      <c r="D34" s="373">
        <v>2000</v>
      </c>
      <c r="E34" s="373">
        <v>2000</v>
      </c>
      <c r="F34" s="373">
        <v>2000</v>
      </c>
      <c r="G34" s="373">
        <v>2000</v>
      </c>
      <c r="H34" s="373">
        <v>2000</v>
      </c>
      <c r="I34" s="373">
        <v>2000</v>
      </c>
      <c r="J34" s="373">
        <v>2000</v>
      </c>
      <c r="K34" s="373">
        <v>2000</v>
      </c>
      <c r="L34" s="373">
        <v>2000</v>
      </c>
      <c r="M34" s="373">
        <v>2000</v>
      </c>
      <c r="N34" s="201">
        <f>SUM(B34:M34)</f>
        <v>24000</v>
      </c>
    </row>
    <row r="35" spans="1:14">
      <c r="A35" s="276">
        <v>40</v>
      </c>
      <c r="B35" s="373">
        <v>5000</v>
      </c>
      <c r="C35" s="373">
        <v>5000</v>
      </c>
      <c r="D35" s="373">
        <v>5000</v>
      </c>
      <c r="E35" s="373">
        <v>5000</v>
      </c>
      <c r="F35" s="373">
        <v>5000</v>
      </c>
      <c r="G35" s="373">
        <v>5000</v>
      </c>
      <c r="H35" s="373">
        <v>5000</v>
      </c>
      <c r="I35" s="373">
        <v>5000</v>
      </c>
      <c r="J35" s="373">
        <v>5000</v>
      </c>
      <c r="K35" s="373">
        <v>5000</v>
      </c>
      <c r="L35" s="373">
        <v>5000</v>
      </c>
      <c r="M35" s="373">
        <v>5000</v>
      </c>
      <c r="N35" s="201">
        <f>SUM(B35:M35)</f>
        <v>60000</v>
      </c>
    </row>
    <row r="36" spans="1:14">
      <c r="A36" s="276">
        <v>60</v>
      </c>
      <c r="B36" s="373">
        <v>10000</v>
      </c>
      <c r="C36" s="373">
        <v>10000</v>
      </c>
      <c r="D36" s="373">
        <v>10000</v>
      </c>
      <c r="E36" s="373">
        <v>10000</v>
      </c>
      <c r="F36" s="373">
        <v>10000</v>
      </c>
      <c r="G36" s="373">
        <v>10000</v>
      </c>
      <c r="H36" s="373">
        <v>10000</v>
      </c>
      <c r="I36" s="373">
        <v>10000</v>
      </c>
      <c r="J36" s="373">
        <v>10000</v>
      </c>
      <c r="K36" s="373">
        <v>10000</v>
      </c>
      <c r="L36" s="373">
        <v>10000</v>
      </c>
      <c r="M36" s="373">
        <v>10000</v>
      </c>
      <c r="N36" s="201">
        <f>SUM(B36:M36)</f>
        <v>120000</v>
      </c>
    </row>
    <row r="37" spans="1:14">
      <c r="A37" s="276">
        <v>100</v>
      </c>
      <c r="B37" s="375">
        <v>20000</v>
      </c>
      <c r="C37" s="375">
        <v>20000</v>
      </c>
      <c r="D37" s="375">
        <v>20000</v>
      </c>
      <c r="E37" s="375">
        <v>20000</v>
      </c>
      <c r="F37" s="375">
        <v>20000</v>
      </c>
      <c r="G37" s="375">
        <v>20000</v>
      </c>
      <c r="H37" s="375">
        <v>20000</v>
      </c>
      <c r="I37" s="375">
        <v>20000</v>
      </c>
      <c r="J37" s="375">
        <v>20000</v>
      </c>
      <c r="K37" s="375">
        <v>20000</v>
      </c>
      <c r="L37" s="375">
        <v>20000</v>
      </c>
      <c r="M37" s="375">
        <v>20000</v>
      </c>
      <c r="N37" s="202">
        <f>SUM(B37:M37)</f>
        <v>240000</v>
      </c>
    </row>
    <row r="38" spans="1:14">
      <c r="A38" s="203" t="s">
        <v>38</v>
      </c>
      <c r="B38" s="204">
        <f t="shared" ref="B38:N38" si="8">SUM(B33:B37)</f>
        <v>38000</v>
      </c>
      <c r="C38" s="204">
        <f t="shared" si="8"/>
        <v>38000</v>
      </c>
      <c r="D38" s="204">
        <f t="shared" si="8"/>
        <v>38000</v>
      </c>
      <c r="E38" s="204">
        <f t="shared" si="8"/>
        <v>38000</v>
      </c>
      <c r="F38" s="204">
        <f t="shared" si="8"/>
        <v>38000</v>
      </c>
      <c r="G38" s="204">
        <f t="shared" si="8"/>
        <v>38000</v>
      </c>
      <c r="H38" s="204">
        <f t="shared" si="8"/>
        <v>38000</v>
      </c>
      <c r="I38" s="204">
        <f t="shared" si="8"/>
        <v>38000</v>
      </c>
      <c r="J38" s="204">
        <f t="shared" si="8"/>
        <v>38000</v>
      </c>
      <c r="K38" s="204">
        <f t="shared" si="8"/>
        <v>38000</v>
      </c>
      <c r="L38" s="204">
        <f t="shared" si="8"/>
        <v>38000</v>
      </c>
      <c r="M38" s="204">
        <f t="shared" si="8"/>
        <v>38000</v>
      </c>
      <c r="N38" s="208">
        <f t="shared" si="8"/>
        <v>456000</v>
      </c>
    </row>
    <row r="41" spans="1:14" ht="18.75">
      <c r="A41" s="198" t="s">
        <v>194</v>
      </c>
    </row>
    <row r="42" spans="1:14">
      <c r="A42" s="199"/>
      <c r="B42" s="288">
        <v>39814</v>
      </c>
      <c r="C42" s="289">
        <v>39845</v>
      </c>
      <c r="D42" s="289">
        <v>39873</v>
      </c>
      <c r="E42" s="289">
        <v>39904</v>
      </c>
      <c r="F42" s="289">
        <v>39934</v>
      </c>
      <c r="G42" s="289">
        <v>39965</v>
      </c>
      <c r="H42" s="289">
        <v>39995</v>
      </c>
      <c r="I42" s="289">
        <v>40026</v>
      </c>
      <c r="J42" s="289">
        <v>40057</v>
      </c>
      <c r="K42" s="289">
        <v>40087</v>
      </c>
      <c r="L42" s="289">
        <v>40118</v>
      </c>
      <c r="M42" s="290">
        <v>40148</v>
      </c>
      <c r="N42" s="290" t="s">
        <v>38</v>
      </c>
    </row>
    <row r="43" spans="1:14">
      <c r="A43" s="276">
        <v>10</v>
      </c>
      <c r="B43" s="389">
        <f>B33*$A43</f>
        <v>10000</v>
      </c>
      <c r="C43" s="389">
        <f t="shared" ref="C43:M43" si="9">C33*$A43</f>
        <v>10000</v>
      </c>
      <c r="D43" s="389">
        <f t="shared" si="9"/>
        <v>10000</v>
      </c>
      <c r="E43" s="389">
        <f t="shared" si="9"/>
        <v>10000</v>
      </c>
      <c r="F43" s="389">
        <f t="shared" si="9"/>
        <v>10000</v>
      </c>
      <c r="G43" s="389">
        <f t="shared" si="9"/>
        <v>10000</v>
      </c>
      <c r="H43" s="389">
        <f t="shared" si="9"/>
        <v>10000</v>
      </c>
      <c r="I43" s="389">
        <f t="shared" si="9"/>
        <v>10000</v>
      </c>
      <c r="J43" s="389">
        <f t="shared" si="9"/>
        <v>10000</v>
      </c>
      <c r="K43" s="389">
        <f t="shared" si="9"/>
        <v>10000</v>
      </c>
      <c r="L43" s="389">
        <f t="shared" si="9"/>
        <v>10000</v>
      </c>
      <c r="M43" s="389">
        <f t="shared" si="9"/>
        <v>10000</v>
      </c>
      <c r="N43" s="277">
        <f>SUM(B43:M43)</f>
        <v>120000</v>
      </c>
    </row>
    <row r="44" spans="1:14">
      <c r="A44" s="276">
        <v>20</v>
      </c>
      <c r="B44" s="389">
        <f t="shared" ref="B44:M44" si="10">B34*$A44</f>
        <v>40000</v>
      </c>
      <c r="C44" s="389">
        <f t="shared" si="10"/>
        <v>40000</v>
      </c>
      <c r="D44" s="389">
        <f t="shared" si="10"/>
        <v>40000</v>
      </c>
      <c r="E44" s="389">
        <f t="shared" si="10"/>
        <v>40000</v>
      </c>
      <c r="F44" s="389">
        <f t="shared" si="10"/>
        <v>40000</v>
      </c>
      <c r="G44" s="389">
        <f t="shared" si="10"/>
        <v>40000</v>
      </c>
      <c r="H44" s="389">
        <f t="shared" si="10"/>
        <v>40000</v>
      </c>
      <c r="I44" s="389">
        <f t="shared" si="10"/>
        <v>40000</v>
      </c>
      <c r="J44" s="389">
        <f t="shared" si="10"/>
        <v>40000</v>
      </c>
      <c r="K44" s="389">
        <f t="shared" si="10"/>
        <v>40000</v>
      </c>
      <c r="L44" s="389">
        <f t="shared" si="10"/>
        <v>40000</v>
      </c>
      <c r="M44" s="389">
        <f t="shared" si="10"/>
        <v>40000</v>
      </c>
      <c r="N44" s="278">
        <f>SUM(B44:M44)</f>
        <v>480000</v>
      </c>
    </row>
    <row r="45" spans="1:14">
      <c r="A45" s="276">
        <v>40</v>
      </c>
      <c r="B45" s="389">
        <f t="shared" ref="B45:M45" si="11">B35*$A45</f>
        <v>200000</v>
      </c>
      <c r="C45" s="389">
        <f t="shared" si="11"/>
        <v>200000</v>
      </c>
      <c r="D45" s="389">
        <f t="shared" si="11"/>
        <v>200000</v>
      </c>
      <c r="E45" s="389">
        <f t="shared" si="11"/>
        <v>200000</v>
      </c>
      <c r="F45" s="389">
        <f t="shared" si="11"/>
        <v>200000</v>
      </c>
      <c r="G45" s="389">
        <f t="shared" si="11"/>
        <v>200000</v>
      </c>
      <c r="H45" s="389">
        <f t="shared" si="11"/>
        <v>200000</v>
      </c>
      <c r="I45" s="389">
        <f t="shared" si="11"/>
        <v>200000</v>
      </c>
      <c r="J45" s="389">
        <f t="shared" si="11"/>
        <v>200000</v>
      </c>
      <c r="K45" s="389">
        <f t="shared" si="11"/>
        <v>200000</v>
      </c>
      <c r="L45" s="389">
        <f t="shared" si="11"/>
        <v>200000</v>
      </c>
      <c r="M45" s="389">
        <f t="shared" si="11"/>
        <v>200000</v>
      </c>
      <c r="N45" s="278">
        <f>SUM(B45:M45)</f>
        <v>2400000</v>
      </c>
    </row>
    <row r="46" spans="1:14">
      <c r="A46" s="276">
        <v>60</v>
      </c>
      <c r="B46" s="389">
        <f t="shared" ref="B46:M46" si="12">B36*$A46</f>
        <v>600000</v>
      </c>
      <c r="C46" s="389">
        <f t="shared" si="12"/>
        <v>600000</v>
      </c>
      <c r="D46" s="389">
        <f t="shared" si="12"/>
        <v>600000</v>
      </c>
      <c r="E46" s="389">
        <f t="shared" si="12"/>
        <v>600000</v>
      </c>
      <c r="F46" s="389">
        <f t="shared" si="12"/>
        <v>600000</v>
      </c>
      <c r="G46" s="389">
        <f t="shared" si="12"/>
        <v>600000</v>
      </c>
      <c r="H46" s="389">
        <f t="shared" si="12"/>
        <v>600000</v>
      </c>
      <c r="I46" s="389">
        <f t="shared" si="12"/>
        <v>600000</v>
      </c>
      <c r="J46" s="389">
        <f t="shared" si="12"/>
        <v>600000</v>
      </c>
      <c r="K46" s="389">
        <f t="shared" si="12"/>
        <v>600000</v>
      </c>
      <c r="L46" s="389">
        <f t="shared" si="12"/>
        <v>600000</v>
      </c>
      <c r="M46" s="389">
        <f t="shared" si="12"/>
        <v>600000</v>
      </c>
      <c r="N46" s="278">
        <f>SUM(B46:M46)</f>
        <v>7200000</v>
      </c>
    </row>
    <row r="47" spans="1:14">
      <c r="A47" s="276">
        <v>100</v>
      </c>
      <c r="B47" s="390">
        <f t="shared" ref="B47:M47" si="13">B37*$A47</f>
        <v>2000000</v>
      </c>
      <c r="C47" s="390">
        <f t="shared" si="13"/>
        <v>2000000</v>
      </c>
      <c r="D47" s="390">
        <f t="shared" si="13"/>
        <v>2000000</v>
      </c>
      <c r="E47" s="390">
        <f t="shared" si="13"/>
        <v>2000000</v>
      </c>
      <c r="F47" s="390">
        <f t="shared" si="13"/>
        <v>2000000</v>
      </c>
      <c r="G47" s="390">
        <f t="shared" si="13"/>
        <v>2000000</v>
      </c>
      <c r="H47" s="390">
        <f t="shared" si="13"/>
        <v>2000000</v>
      </c>
      <c r="I47" s="390">
        <f t="shared" si="13"/>
        <v>2000000</v>
      </c>
      <c r="J47" s="390">
        <f t="shared" si="13"/>
        <v>2000000</v>
      </c>
      <c r="K47" s="390">
        <f t="shared" si="13"/>
        <v>2000000</v>
      </c>
      <c r="L47" s="390">
        <f t="shared" si="13"/>
        <v>2000000</v>
      </c>
      <c r="M47" s="390">
        <f t="shared" si="13"/>
        <v>2000000</v>
      </c>
      <c r="N47" s="279">
        <f>SUM(B47:M47)</f>
        <v>24000000</v>
      </c>
    </row>
    <row r="48" spans="1:14">
      <c r="A48" s="203" t="s">
        <v>38</v>
      </c>
      <c r="B48" s="280">
        <f t="shared" ref="B48:N48" si="14">SUM(B43:B47)</f>
        <v>2850000</v>
      </c>
      <c r="C48" s="280">
        <f t="shared" si="14"/>
        <v>2850000</v>
      </c>
      <c r="D48" s="280">
        <f t="shared" si="14"/>
        <v>2850000</v>
      </c>
      <c r="E48" s="280">
        <f t="shared" si="14"/>
        <v>2850000</v>
      </c>
      <c r="F48" s="280">
        <f t="shared" si="14"/>
        <v>2850000</v>
      </c>
      <c r="G48" s="280">
        <f t="shared" si="14"/>
        <v>2850000</v>
      </c>
      <c r="H48" s="280">
        <f t="shared" si="14"/>
        <v>2850000</v>
      </c>
      <c r="I48" s="280">
        <f t="shared" si="14"/>
        <v>2850000</v>
      </c>
      <c r="J48" s="280">
        <f t="shared" si="14"/>
        <v>2850000</v>
      </c>
      <c r="K48" s="280">
        <f t="shared" si="14"/>
        <v>2850000</v>
      </c>
      <c r="L48" s="280">
        <f t="shared" si="14"/>
        <v>2850000</v>
      </c>
      <c r="M48" s="280">
        <f t="shared" si="14"/>
        <v>2850000</v>
      </c>
      <c r="N48" s="281">
        <f t="shared" si="14"/>
        <v>34200000</v>
      </c>
    </row>
    <row r="50" spans="11:15">
      <c r="K50" s="294"/>
      <c r="L50" s="294"/>
      <c r="M50" s="313" t="s">
        <v>241</v>
      </c>
      <c r="N50" s="313"/>
      <c r="O50" s="294"/>
    </row>
    <row r="51" spans="11:15">
      <c r="M51" s="294" t="s">
        <v>192</v>
      </c>
      <c r="N51" s="295">
        <f>N28+N48</f>
        <v>1493280000</v>
      </c>
      <c r="O51" s="294"/>
    </row>
    <row r="52" spans="11:15">
      <c r="K52" s="294"/>
      <c r="L52" s="294"/>
      <c r="M52" s="294" t="s">
        <v>244</v>
      </c>
      <c r="N52" s="295">
        <f>N51/1.19</f>
        <v>1254857142.8571429</v>
      </c>
      <c r="O52" s="294"/>
    </row>
    <row r="57" spans="11:15">
      <c r="N57" s="52"/>
    </row>
    <row r="58" spans="11:15">
      <c r="N58" s="52"/>
    </row>
  </sheetData>
  <mergeCells count="1">
    <mergeCell ref="M50:N50"/>
  </mergeCells>
  <pageMargins left="0.70866141732283472" right="0.70866141732283472" top="0.74803149606299213" bottom="1.1417322834645669" header="0.31496062992125984" footer="0.31496062992125984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3"/>
  <sheetViews>
    <sheetView topLeftCell="B1" workbookViewId="0">
      <selection activeCell="G14" sqref="G14:L16"/>
    </sheetView>
  </sheetViews>
  <sheetFormatPr baseColWidth="10" defaultRowHeight="15"/>
  <cols>
    <col min="1" max="1" width="16.28515625" bestFit="1" customWidth="1"/>
    <col min="2" max="2" width="18.140625" customWidth="1"/>
    <col min="3" max="3" width="52.85546875" customWidth="1"/>
    <col min="4" max="4" width="17.28515625" bestFit="1" customWidth="1"/>
    <col min="6" max="6" width="17.28515625" bestFit="1" customWidth="1"/>
    <col min="8" max="8" width="16.42578125" customWidth="1"/>
  </cols>
  <sheetData>
    <row r="1" spans="1:8" ht="24" customHeight="1">
      <c r="A1" s="314" t="s">
        <v>91</v>
      </c>
      <c r="B1" s="316" t="s">
        <v>92</v>
      </c>
      <c r="C1" s="318" t="s">
        <v>93</v>
      </c>
      <c r="D1" s="320" t="s">
        <v>98</v>
      </c>
      <c r="E1" s="318"/>
      <c r="F1" s="318" t="s">
        <v>94</v>
      </c>
      <c r="G1" s="321"/>
      <c r="H1" s="55">
        <v>837785</v>
      </c>
    </row>
    <row r="2" spans="1:8" ht="15.75" thickBot="1">
      <c r="A2" s="315"/>
      <c r="B2" s="317"/>
      <c r="C2" s="319"/>
      <c r="D2" s="58" t="s">
        <v>95</v>
      </c>
      <c r="E2" s="58" t="s">
        <v>96</v>
      </c>
      <c r="F2" s="58" t="s">
        <v>95</v>
      </c>
      <c r="G2" s="59" t="s">
        <v>96</v>
      </c>
    </row>
    <row r="3" spans="1:8" ht="30.75" thickBot="1">
      <c r="A3" s="43" t="s">
        <v>99</v>
      </c>
      <c r="B3" s="47" t="s">
        <v>100</v>
      </c>
      <c r="C3" s="60" t="s">
        <v>101</v>
      </c>
      <c r="D3" s="377">
        <v>9000000000</v>
      </c>
      <c r="E3" s="61" t="s">
        <v>102</v>
      </c>
      <c r="F3" s="377">
        <v>9000000000</v>
      </c>
      <c r="G3" s="62" t="s">
        <v>102</v>
      </c>
      <c r="H3" s="53"/>
    </row>
    <row r="4" spans="1:8" ht="45.75" thickBot="1">
      <c r="A4" s="44" t="s">
        <v>103</v>
      </c>
      <c r="B4" s="48" t="s">
        <v>121</v>
      </c>
      <c r="C4" s="63" t="s">
        <v>104</v>
      </c>
      <c r="D4" s="378">
        <v>15000000000</v>
      </c>
      <c r="E4" s="63" t="s">
        <v>102</v>
      </c>
      <c r="F4" s="378">
        <v>15000000000</v>
      </c>
      <c r="G4" s="64" t="s">
        <v>102</v>
      </c>
      <c r="H4" s="53"/>
    </row>
    <row r="5" spans="1:8" ht="30">
      <c r="A5" s="322" t="s">
        <v>105</v>
      </c>
      <c r="B5" s="49" t="s">
        <v>106</v>
      </c>
      <c r="C5" s="65" t="s">
        <v>107</v>
      </c>
      <c r="D5" s="379">
        <v>3000000</v>
      </c>
      <c r="E5" s="65" t="s">
        <v>108</v>
      </c>
      <c r="F5" s="325">
        <f>SUM(D5:D7)</f>
        <v>1003500000</v>
      </c>
      <c r="G5" s="328" t="s">
        <v>108</v>
      </c>
      <c r="H5" s="53"/>
    </row>
    <row r="6" spans="1:8" ht="30">
      <c r="A6" s="323"/>
      <c r="B6" s="49" t="s">
        <v>109</v>
      </c>
      <c r="C6" s="65" t="s">
        <v>110</v>
      </c>
      <c r="D6" s="379">
        <v>500000</v>
      </c>
      <c r="E6" s="65" t="s">
        <v>108</v>
      </c>
      <c r="F6" s="326"/>
      <c r="G6" s="329"/>
      <c r="H6" s="53"/>
    </row>
    <row r="7" spans="1:8" ht="30.75" thickBot="1">
      <c r="A7" s="324"/>
      <c r="B7" s="48" t="s">
        <v>111</v>
      </c>
      <c r="C7" s="63" t="s">
        <v>112</v>
      </c>
      <c r="D7" s="378">
        <v>1000000000</v>
      </c>
      <c r="E7" s="63" t="s">
        <v>108</v>
      </c>
      <c r="F7" s="327"/>
      <c r="G7" s="330"/>
      <c r="H7" s="53"/>
    </row>
    <row r="8" spans="1:8">
      <c r="A8" s="331" t="s">
        <v>97</v>
      </c>
      <c r="B8" s="50" t="s">
        <v>113</v>
      </c>
      <c r="C8" s="61" t="s">
        <v>114</v>
      </c>
      <c r="D8" s="380">
        <v>4000000</v>
      </c>
      <c r="E8" s="61" t="s">
        <v>108</v>
      </c>
      <c r="F8" s="325">
        <f>SUM(D8:D9)</f>
        <v>34000000</v>
      </c>
      <c r="G8" s="328" t="s">
        <v>108</v>
      </c>
      <c r="H8" s="53"/>
    </row>
    <row r="9" spans="1:8" ht="30.75" thickBot="1">
      <c r="A9" s="332"/>
      <c r="B9" s="51" t="s">
        <v>115</v>
      </c>
      <c r="C9" s="66" t="s">
        <v>116</v>
      </c>
      <c r="D9" s="381">
        <v>30000000</v>
      </c>
      <c r="E9" s="66" t="s">
        <v>108</v>
      </c>
      <c r="F9" s="326"/>
      <c r="G9" s="329"/>
      <c r="H9" s="53"/>
    </row>
    <row r="10" spans="1:8" ht="30.75" thickBot="1">
      <c r="A10" s="45" t="s">
        <v>117</v>
      </c>
      <c r="B10" s="46" t="s">
        <v>118</v>
      </c>
      <c r="C10" s="67" t="s">
        <v>122</v>
      </c>
      <c r="D10" s="382">
        <v>1000000</v>
      </c>
      <c r="E10" s="67" t="s">
        <v>119</v>
      </c>
      <c r="F10" s="382">
        <v>1000000</v>
      </c>
      <c r="G10" s="68" t="s">
        <v>119</v>
      </c>
      <c r="H10" s="56"/>
    </row>
    <row r="12" spans="1:8">
      <c r="D12" s="40"/>
    </row>
    <row r="13" spans="1:8">
      <c r="D13" s="52"/>
      <c r="H13" s="57"/>
    </row>
  </sheetData>
  <mergeCells count="11">
    <mergeCell ref="A5:A7"/>
    <mergeCell ref="F5:F7"/>
    <mergeCell ref="G5:G7"/>
    <mergeCell ref="A8:A9"/>
    <mergeCell ref="F8:F9"/>
    <mergeCell ref="G8:G9"/>
    <mergeCell ref="A1:A2"/>
    <mergeCell ref="B1:B2"/>
    <mergeCell ref="C1:C2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C79"/>
  <sheetViews>
    <sheetView workbookViewId="0">
      <selection activeCell="C4" sqref="C4"/>
    </sheetView>
  </sheetViews>
  <sheetFormatPr baseColWidth="10" defaultRowHeight="15"/>
  <cols>
    <col min="1" max="1" width="2" bestFit="1" customWidth="1"/>
    <col min="2" max="2" width="24.42578125" bestFit="1" customWidth="1"/>
    <col min="3" max="14" width="15" bestFit="1" customWidth="1"/>
    <col min="15" max="15" width="15.85546875" bestFit="1" customWidth="1"/>
    <col min="16" max="16" width="11.7109375" bestFit="1" customWidth="1"/>
    <col min="17" max="17" width="15.28515625" customWidth="1"/>
    <col min="18" max="18" width="11.42578125" customWidth="1"/>
    <col min="21" max="21" width="11.85546875" bestFit="1" customWidth="1"/>
  </cols>
  <sheetData>
    <row r="1" spans="1:55">
      <c r="C1" s="170"/>
      <c r="D1" s="170"/>
    </row>
    <row r="2" spans="1:55" ht="15.75" thickBot="1">
      <c r="A2">
        <v>1</v>
      </c>
      <c r="B2" t="s">
        <v>123</v>
      </c>
      <c r="C2" s="170"/>
      <c r="D2" s="170"/>
    </row>
    <row r="3" spans="1:55">
      <c r="B3" s="216" t="s">
        <v>124</v>
      </c>
      <c r="C3" s="214">
        <v>39814</v>
      </c>
      <c r="D3" s="214">
        <v>39845</v>
      </c>
      <c r="E3" s="214">
        <v>39873</v>
      </c>
      <c r="F3" s="214">
        <v>39904</v>
      </c>
      <c r="G3" s="214">
        <v>39934</v>
      </c>
      <c r="H3" s="214">
        <v>39965</v>
      </c>
      <c r="I3" s="214">
        <v>39995</v>
      </c>
      <c r="J3" s="214">
        <v>40026</v>
      </c>
      <c r="K3" s="214">
        <v>40057</v>
      </c>
      <c r="L3" s="214">
        <v>40087</v>
      </c>
      <c r="M3" s="214">
        <v>40118</v>
      </c>
      <c r="N3" s="214">
        <v>40148</v>
      </c>
      <c r="O3" s="215" t="s">
        <v>200</v>
      </c>
    </row>
    <row r="4" spans="1:55">
      <c r="B4" s="103" t="s">
        <v>145</v>
      </c>
      <c r="C4" s="386">
        <v>500000</v>
      </c>
      <c r="D4" s="386">
        <v>500000</v>
      </c>
      <c r="E4" s="386">
        <v>500000</v>
      </c>
      <c r="F4" s="386">
        <v>500000</v>
      </c>
      <c r="G4" s="386">
        <v>500000</v>
      </c>
      <c r="H4" s="386">
        <v>500000</v>
      </c>
      <c r="I4" s="386">
        <v>500000</v>
      </c>
      <c r="J4" s="386">
        <v>500000</v>
      </c>
      <c r="K4" s="386">
        <v>500000</v>
      </c>
      <c r="L4" s="386">
        <v>500000</v>
      </c>
      <c r="M4" s="386">
        <v>500000</v>
      </c>
      <c r="N4" s="386">
        <v>500000</v>
      </c>
      <c r="O4" s="105">
        <f>MAX(C4:N4)</f>
        <v>500000</v>
      </c>
    </row>
    <row r="5" spans="1:55">
      <c r="B5" s="103" t="s">
        <v>158</v>
      </c>
      <c r="C5" s="386">
        <v>1000000</v>
      </c>
      <c r="D5" s="386">
        <v>1000000</v>
      </c>
      <c r="E5" s="386">
        <v>1000000</v>
      </c>
      <c r="F5" s="386">
        <v>1000000</v>
      </c>
      <c r="G5" s="386">
        <v>1000000</v>
      </c>
      <c r="H5" s="386">
        <v>1000000</v>
      </c>
      <c r="I5" s="386">
        <v>1000000</v>
      </c>
      <c r="J5" s="386">
        <v>1000000</v>
      </c>
      <c r="K5" s="386">
        <v>1000000</v>
      </c>
      <c r="L5" s="386">
        <v>1000000</v>
      </c>
      <c r="M5" s="386">
        <v>1000000</v>
      </c>
      <c r="N5" s="386">
        <v>1000000</v>
      </c>
      <c r="O5" s="105">
        <f t="shared" ref="O5" si="0">MAX(C5:N5)</f>
        <v>1000000</v>
      </c>
    </row>
    <row r="6" spans="1:55">
      <c r="B6" s="103" t="s">
        <v>150</v>
      </c>
      <c r="C6" s="386">
        <v>100000</v>
      </c>
      <c r="D6" s="386">
        <v>100000</v>
      </c>
      <c r="E6" s="386">
        <v>100000</v>
      </c>
      <c r="F6" s="386">
        <v>100000</v>
      </c>
      <c r="G6" s="386">
        <v>100000</v>
      </c>
      <c r="H6" s="386">
        <v>100000</v>
      </c>
      <c r="I6" s="386">
        <v>100000</v>
      </c>
      <c r="J6" s="386">
        <v>100000</v>
      </c>
      <c r="K6" s="386">
        <v>100000</v>
      </c>
      <c r="L6" s="386">
        <v>100000</v>
      </c>
      <c r="M6" s="386">
        <v>100000</v>
      </c>
      <c r="N6" s="386">
        <v>100000</v>
      </c>
      <c r="O6" s="105">
        <f>MAX(C6:N6)</f>
        <v>100000</v>
      </c>
    </row>
    <row r="7" spans="1:55" ht="15.75" thickBot="1">
      <c r="B7" s="102" t="s">
        <v>38</v>
      </c>
      <c r="C7" s="121">
        <f t="shared" ref="C7:M7" si="1">SUM(C4:C6)</f>
        <v>1600000</v>
      </c>
      <c r="D7" s="121">
        <f t="shared" si="1"/>
        <v>1600000</v>
      </c>
      <c r="E7" s="121">
        <f t="shared" si="1"/>
        <v>1600000</v>
      </c>
      <c r="F7" s="121">
        <f t="shared" si="1"/>
        <v>1600000</v>
      </c>
      <c r="G7" s="121">
        <f t="shared" si="1"/>
        <v>1600000</v>
      </c>
      <c r="H7" s="121">
        <f t="shared" si="1"/>
        <v>1600000</v>
      </c>
      <c r="I7" s="121">
        <f t="shared" si="1"/>
        <v>1600000</v>
      </c>
      <c r="J7" s="121">
        <f t="shared" si="1"/>
        <v>1600000</v>
      </c>
      <c r="K7" s="121">
        <f t="shared" si="1"/>
        <v>1600000</v>
      </c>
      <c r="L7" s="121">
        <f t="shared" si="1"/>
        <v>1600000</v>
      </c>
      <c r="M7" s="121">
        <f t="shared" si="1"/>
        <v>1600000</v>
      </c>
      <c r="N7" s="121">
        <f>SUM(N4:N6)</f>
        <v>1600000</v>
      </c>
      <c r="O7" s="122">
        <f t="shared" ref="O7" si="2">SUM(O4:O6)</f>
        <v>1600000</v>
      </c>
    </row>
    <row r="9" spans="1:55" ht="15.75" thickBot="1">
      <c r="A9">
        <v>2</v>
      </c>
      <c r="B9" t="s">
        <v>130</v>
      </c>
    </row>
    <row r="10" spans="1:55">
      <c r="B10" s="101" t="s">
        <v>199</v>
      </c>
      <c r="C10" s="99">
        <v>39814</v>
      </c>
      <c r="D10" s="99">
        <v>39845</v>
      </c>
      <c r="E10" s="99">
        <v>39873</v>
      </c>
      <c r="F10" s="99">
        <v>39904</v>
      </c>
      <c r="G10" s="99">
        <v>39934</v>
      </c>
      <c r="H10" s="99">
        <v>39965</v>
      </c>
      <c r="I10" s="99">
        <v>39995</v>
      </c>
      <c r="J10" s="99">
        <v>40026</v>
      </c>
      <c r="K10" s="99">
        <v>40057</v>
      </c>
      <c r="L10" s="99">
        <v>40087</v>
      </c>
      <c r="M10" s="99">
        <v>40118</v>
      </c>
      <c r="N10" s="99">
        <v>40148</v>
      </c>
      <c r="O10" s="100" t="s">
        <v>125</v>
      </c>
    </row>
    <row r="11" spans="1:55">
      <c r="B11" s="103" t="s">
        <v>145</v>
      </c>
      <c r="C11" s="247">
        <f>'Traf 2009 Local'!L26</f>
        <v>4160000000</v>
      </c>
      <c r="D11" s="247">
        <f>'Traf 2009 Local'!M26</f>
        <v>4160000000</v>
      </c>
      <c r="E11" s="247">
        <f>'Traf 2009 Local'!N26</f>
        <v>4160000000</v>
      </c>
      <c r="F11" s="247">
        <f>'Traf 2009 Local'!O26</f>
        <v>4160000000</v>
      </c>
      <c r="G11" s="247">
        <f>'Traf 2009 Local'!P26</f>
        <v>4160000000</v>
      </c>
      <c r="H11" s="247">
        <f>'Traf 2009 Local'!Q26</f>
        <v>4160000000</v>
      </c>
      <c r="I11" s="247">
        <f>'Traf 2009 Local'!R26</f>
        <v>4160000000</v>
      </c>
      <c r="J11" s="247">
        <f>'Traf 2009 Local'!S26</f>
        <v>4160000000</v>
      </c>
      <c r="K11" s="247">
        <f>'Traf 2009 Local'!T26</f>
        <v>4160000000</v>
      </c>
      <c r="L11" s="247">
        <f>'Traf 2009 Local'!U26</f>
        <v>4160000000</v>
      </c>
      <c r="M11" s="247">
        <f>'Traf 2009 Local'!V26</f>
        <v>4160000000</v>
      </c>
      <c r="N11" s="247">
        <f>'Traf 2009 Local'!W26</f>
        <v>4160000000</v>
      </c>
      <c r="O11" s="105">
        <f>SUM(C11:N11)</f>
        <v>49920000000</v>
      </c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</row>
    <row r="12" spans="1:55">
      <c r="B12" s="103" t="s">
        <v>158</v>
      </c>
      <c r="C12" s="247">
        <f>'Traf 2009 Local'!L27</f>
        <v>5200000000</v>
      </c>
      <c r="D12" s="247">
        <f>'Traf 2009 Local'!M27</f>
        <v>5200000000</v>
      </c>
      <c r="E12" s="247">
        <f>'Traf 2009 Local'!N27</f>
        <v>5200000000</v>
      </c>
      <c r="F12" s="247">
        <f>'Traf 2009 Local'!O27</f>
        <v>5200000000</v>
      </c>
      <c r="G12" s="247">
        <f>'Traf 2009 Local'!P27</f>
        <v>5200000000</v>
      </c>
      <c r="H12" s="247">
        <f>'Traf 2009 Local'!Q27</f>
        <v>5200000000</v>
      </c>
      <c r="I12" s="247">
        <f>'Traf 2009 Local'!R27</f>
        <v>5200000000</v>
      </c>
      <c r="J12" s="247">
        <f>'Traf 2009 Local'!S27</f>
        <v>5200000000</v>
      </c>
      <c r="K12" s="247">
        <f>'Traf 2009 Local'!T27</f>
        <v>5200000000</v>
      </c>
      <c r="L12" s="247">
        <f>'Traf 2009 Local'!U27</f>
        <v>5200000000</v>
      </c>
      <c r="M12" s="247">
        <f>'Traf 2009 Local'!V27</f>
        <v>5200000000</v>
      </c>
      <c r="N12" s="247">
        <f>'Traf 2009 Local'!W27</f>
        <v>5200000000</v>
      </c>
      <c r="O12" s="105">
        <f t="shared" ref="O12:O13" si="3">SUM(C12:N12)</f>
        <v>62400000000</v>
      </c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</row>
    <row r="13" spans="1:55">
      <c r="B13" s="103" t="s">
        <v>150</v>
      </c>
      <c r="C13" s="247">
        <f>'Traf 2009 Local'!L28</f>
        <v>1040000000</v>
      </c>
      <c r="D13" s="247">
        <f>'Traf 2009 Local'!M28</f>
        <v>1040000000</v>
      </c>
      <c r="E13" s="247">
        <f>'Traf 2009 Local'!N28</f>
        <v>1040000000</v>
      </c>
      <c r="F13" s="247">
        <f>'Traf 2009 Local'!O28</f>
        <v>1040000000</v>
      </c>
      <c r="G13" s="247">
        <f>'Traf 2009 Local'!P28</f>
        <v>1040000000</v>
      </c>
      <c r="H13" s="247">
        <f>'Traf 2009 Local'!Q28</f>
        <v>1040000000</v>
      </c>
      <c r="I13" s="247">
        <f>'Traf 2009 Local'!R28</f>
        <v>1040000000</v>
      </c>
      <c r="J13" s="247">
        <f>'Traf 2009 Local'!S28</f>
        <v>1040000000</v>
      </c>
      <c r="K13" s="247">
        <f>'Traf 2009 Local'!T28</f>
        <v>1040000000</v>
      </c>
      <c r="L13" s="247">
        <f>'Traf 2009 Local'!U28</f>
        <v>1040000000</v>
      </c>
      <c r="M13" s="247">
        <f>'Traf 2009 Local'!V28</f>
        <v>1040000000</v>
      </c>
      <c r="N13" s="247">
        <f>'Traf 2009 Local'!W28</f>
        <v>1040000000</v>
      </c>
      <c r="O13" s="105">
        <f t="shared" si="3"/>
        <v>12480000000</v>
      </c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</row>
    <row r="14" spans="1:55" ht="15.75" thickBot="1">
      <c r="B14" s="102" t="s">
        <v>38</v>
      </c>
      <c r="C14" s="121">
        <f>SUM(C11:C13)</f>
        <v>10400000000</v>
      </c>
      <c r="D14" s="121">
        <f t="shared" ref="D14" si="4">SUM(D11:D13)</f>
        <v>10400000000</v>
      </c>
      <c r="E14" s="121">
        <f t="shared" ref="E14" si="5">SUM(E11:E13)</f>
        <v>10400000000</v>
      </c>
      <c r="F14" s="121">
        <f t="shared" ref="F14" si="6">SUM(F11:F13)</f>
        <v>10400000000</v>
      </c>
      <c r="G14" s="121">
        <f t="shared" ref="G14" si="7">SUM(G11:G13)</f>
        <v>10400000000</v>
      </c>
      <c r="H14" s="121">
        <f t="shared" ref="H14" si="8">SUM(H11:H13)</f>
        <v>10400000000</v>
      </c>
      <c r="I14" s="121">
        <f t="shared" ref="I14" si="9">SUM(I11:I13)</f>
        <v>10400000000</v>
      </c>
      <c r="J14" s="121">
        <f t="shared" ref="J14" si="10">SUM(J11:J13)</f>
        <v>10400000000</v>
      </c>
      <c r="K14" s="121">
        <f t="shared" ref="K14" si="11">SUM(K11:K13)</f>
        <v>10400000000</v>
      </c>
      <c r="L14" s="121">
        <f t="shared" ref="L14" si="12">SUM(L11:L13)</f>
        <v>10400000000</v>
      </c>
      <c r="M14" s="121">
        <f t="shared" ref="M14" si="13">SUM(M11:M13)</f>
        <v>10400000000</v>
      </c>
      <c r="N14" s="121">
        <f t="shared" ref="N14" si="14">SUM(N11:N13)</f>
        <v>10400000000</v>
      </c>
      <c r="O14" s="122">
        <f t="shared" ref="O14" si="15">SUM(O11:O13)</f>
        <v>124800000000</v>
      </c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</row>
    <row r="15" spans="1:55" ht="15.75" thickBot="1"/>
    <row r="16" spans="1:55">
      <c r="B16" s="101" t="s">
        <v>198</v>
      </c>
      <c r="C16" s="99">
        <v>39814</v>
      </c>
      <c r="D16" s="99">
        <v>39845</v>
      </c>
      <c r="E16" s="99">
        <v>39873</v>
      </c>
      <c r="F16" s="99">
        <v>39904</v>
      </c>
      <c r="G16" s="99">
        <v>39934</v>
      </c>
      <c r="H16" s="99">
        <v>39965</v>
      </c>
      <c r="I16" s="99">
        <v>39995</v>
      </c>
      <c r="J16" s="99">
        <v>40026</v>
      </c>
      <c r="K16" s="99">
        <v>40057</v>
      </c>
      <c r="L16" s="99">
        <v>40087</v>
      </c>
      <c r="M16" s="99">
        <v>40118</v>
      </c>
      <c r="N16" s="99">
        <v>40148</v>
      </c>
      <c r="O16" s="100" t="s">
        <v>125</v>
      </c>
    </row>
    <row r="17" spans="2:21">
      <c r="B17" s="103" t="s">
        <v>145</v>
      </c>
      <c r="C17" s="104">
        <f>'Traf 2009 Local'!L20</f>
        <v>75000000</v>
      </c>
      <c r="D17" s="104">
        <f>'Traf 2009 Local'!M20</f>
        <v>75000000</v>
      </c>
      <c r="E17" s="104">
        <f>'Traf 2009 Local'!N20</f>
        <v>75000000</v>
      </c>
      <c r="F17" s="104">
        <f>'Traf 2009 Local'!O20</f>
        <v>75000000</v>
      </c>
      <c r="G17" s="104">
        <f>'Traf 2009 Local'!P20</f>
        <v>75000000</v>
      </c>
      <c r="H17" s="104">
        <f>'Traf 2009 Local'!Q20</f>
        <v>75000000</v>
      </c>
      <c r="I17" s="104">
        <f>'Traf 2009 Local'!R20</f>
        <v>75000000</v>
      </c>
      <c r="J17" s="104">
        <f>'Traf 2009 Local'!S20</f>
        <v>75000000</v>
      </c>
      <c r="K17" s="104">
        <f>'Traf 2009 Local'!T20</f>
        <v>75000000</v>
      </c>
      <c r="L17" s="104">
        <f>'Traf 2009 Local'!U20</f>
        <v>75000000</v>
      </c>
      <c r="M17" s="104">
        <f>'Traf 2009 Local'!V20</f>
        <v>75000000</v>
      </c>
      <c r="N17" s="104">
        <f>'Traf 2009 Local'!W20</f>
        <v>75000000</v>
      </c>
      <c r="O17" s="105">
        <f>SUM(C17:N17)</f>
        <v>900000000</v>
      </c>
    </row>
    <row r="18" spans="2:21">
      <c r="B18" s="103" t="s">
        <v>158</v>
      </c>
      <c r="C18" s="104">
        <f>'Traf 2009 Local'!L21</f>
        <v>100000000</v>
      </c>
      <c r="D18" s="104">
        <f>'Traf 2009 Local'!M21</f>
        <v>100000000</v>
      </c>
      <c r="E18" s="104">
        <f>'Traf 2009 Local'!N21</f>
        <v>100000000</v>
      </c>
      <c r="F18" s="104">
        <f>'Traf 2009 Local'!O21</f>
        <v>100000000</v>
      </c>
      <c r="G18" s="104">
        <f>'Traf 2009 Local'!P21</f>
        <v>100000000</v>
      </c>
      <c r="H18" s="104">
        <f>'Traf 2009 Local'!Q21</f>
        <v>100000000</v>
      </c>
      <c r="I18" s="104">
        <f>'Traf 2009 Local'!R21</f>
        <v>100000000</v>
      </c>
      <c r="J18" s="104">
        <f>'Traf 2009 Local'!S21</f>
        <v>100000000</v>
      </c>
      <c r="K18" s="104">
        <f>'Traf 2009 Local'!T21</f>
        <v>100000000</v>
      </c>
      <c r="L18" s="104">
        <f>'Traf 2009 Local'!U21</f>
        <v>100000000</v>
      </c>
      <c r="M18" s="104">
        <f>'Traf 2009 Local'!V21</f>
        <v>100000000</v>
      </c>
      <c r="N18" s="104">
        <f>'Traf 2009 Local'!W21</f>
        <v>100000000</v>
      </c>
      <c r="O18" s="105">
        <f t="shared" ref="O18:O19" si="16">SUM(C18:N18)</f>
        <v>1200000000</v>
      </c>
    </row>
    <row r="19" spans="2:21">
      <c r="B19" s="103" t="s">
        <v>150</v>
      </c>
      <c r="C19" s="104">
        <f>'Traf 2009 Local'!L22</f>
        <v>8000000</v>
      </c>
      <c r="D19" s="104">
        <f>'Traf 2009 Local'!M22</f>
        <v>8000000</v>
      </c>
      <c r="E19" s="104">
        <f>'Traf 2009 Local'!N22</f>
        <v>8000000</v>
      </c>
      <c r="F19" s="104">
        <f>'Traf 2009 Local'!O22</f>
        <v>8000000</v>
      </c>
      <c r="G19" s="104">
        <f>'Traf 2009 Local'!P22</f>
        <v>8000000</v>
      </c>
      <c r="H19" s="104">
        <f>'Traf 2009 Local'!Q22</f>
        <v>8000000</v>
      </c>
      <c r="I19" s="104">
        <f>'Traf 2009 Local'!R22</f>
        <v>8000000</v>
      </c>
      <c r="J19" s="104">
        <f>'Traf 2009 Local'!S22</f>
        <v>8000000</v>
      </c>
      <c r="K19" s="104">
        <f>'Traf 2009 Local'!T22</f>
        <v>8000000</v>
      </c>
      <c r="L19" s="104">
        <f>'Traf 2009 Local'!U22</f>
        <v>8000000</v>
      </c>
      <c r="M19" s="104">
        <f>'Traf 2009 Local'!V22</f>
        <v>8000000</v>
      </c>
      <c r="N19" s="104">
        <f>'Traf 2009 Local'!W22</f>
        <v>8000000</v>
      </c>
      <c r="O19" s="105">
        <f t="shared" si="16"/>
        <v>96000000</v>
      </c>
    </row>
    <row r="20" spans="2:21" ht="15.75" thickBot="1">
      <c r="B20" s="102" t="s">
        <v>38</v>
      </c>
      <c r="C20" s="121">
        <f>SUM(C17:C19)</f>
        <v>183000000</v>
      </c>
      <c r="D20" s="121">
        <f t="shared" ref="D20:O20" si="17">SUM(D17:D19)</f>
        <v>183000000</v>
      </c>
      <c r="E20" s="121">
        <f t="shared" si="17"/>
        <v>183000000</v>
      </c>
      <c r="F20" s="121">
        <f t="shared" si="17"/>
        <v>183000000</v>
      </c>
      <c r="G20" s="121">
        <f t="shared" si="17"/>
        <v>183000000</v>
      </c>
      <c r="H20" s="121">
        <f t="shared" si="17"/>
        <v>183000000</v>
      </c>
      <c r="I20" s="121">
        <f t="shared" si="17"/>
        <v>183000000</v>
      </c>
      <c r="J20" s="121">
        <f t="shared" si="17"/>
        <v>183000000</v>
      </c>
      <c r="K20" s="121">
        <f t="shared" si="17"/>
        <v>183000000</v>
      </c>
      <c r="L20" s="121">
        <f t="shared" si="17"/>
        <v>183000000</v>
      </c>
      <c r="M20" s="121">
        <f t="shared" si="17"/>
        <v>183000000</v>
      </c>
      <c r="N20" s="121">
        <f t="shared" si="17"/>
        <v>183000000</v>
      </c>
      <c r="O20" s="122">
        <f t="shared" si="17"/>
        <v>2196000000</v>
      </c>
    </row>
    <row r="21" spans="2:21" ht="15.75" thickBot="1"/>
    <row r="22" spans="2:21" ht="15.75" thickBot="1">
      <c r="B22" s="123" t="s">
        <v>201</v>
      </c>
      <c r="C22" s="111">
        <v>39814</v>
      </c>
      <c r="D22" s="111">
        <v>39845</v>
      </c>
      <c r="E22" s="111">
        <v>39873</v>
      </c>
      <c r="F22" s="111">
        <v>39904</v>
      </c>
      <c r="G22" s="111">
        <v>39934</v>
      </c>
      <c r="H22" s="111">
        <v>39965</v>
      </c>
      <c r="I22" s="111">
        <v>39995</v>
      </c>
      <c r="J22" s="111">
        <v>40026</v>
      </c>
      <c r="K22" s="111">
        <v>40057</v>
      </c>
      <c r="L22" s="111">
        <v>40087</v>
      </c>
      <c r="M22" s="111">
        <v>40118</v>
      </c>
      <c r="N22" s="217">
        <v>40148</v>
      </c>
      <c r="O22" s="218" t="s">
        <v>125</v>
      </c>
    </row>
    <row r="23" spans="2:21">
      <c r="B23" s="103" t="s">
        <v>154</v>
      </c>
      <c r="C23" s="386">
        <v>1000000</v>
      </c>
      <c r="D23" s="386">
        <v>1000000</v>
      </c>
      <c r="E23" s="386">
        <v>1000000</v>
      </c>
      <c r="F23" s="386">
        <v>1000000</v>
      </c>
      <c r="G23" s="386">
        <v>1000000</v>
      </c>
      <c r="H23" s="386">
        <v>1000000</v>
      </c>
      <c r="I23" s="386">
        <v>1000000</v>
      </c>
      <c r="J23" s="386">
        <v>1000000</v>
      </c>
      <c r="K23" s="386">
        <v>1000000</v>
      </c>
      <c r="L23" s="386">
        <v>1000000</v>
      </c>
      <c r="M23" s="386">
        <v>1000000</v>
      </c>
      <c r="N23" s="386">
        <v>1000000</v>
      </c>
      <c r="O23" s="105">
        <f>SUM(C23:N23)</f>
        <v>12000000</v>
      </c>
    </row>
    <row r="24" spans="2:21">
      <c r="B24" s="103" t="s">
        <v>155</v>
      </c>
      <c r="C24" s="386">
        <v>10000000</v>
      </c>
      <c r="D24" s="386">
        <v>10000000</v>
      </c>
      <c r="E24" s="386">
        <v>10000000</v>
      </c>
      <c r="F24" s="386">
        <v>10000000</v>
      </c>
      <c r="G24" s="386">
        <v>10000000</v>
      </c>
      <c r="H24" s="386">
        <v>10000000</v>
      </c>
      <c r="I24" s="386">
        <v>10000000</v>
      </c>
      <c r="J24" s="386">
        <v>10000000</v>
      </c>
      <c r="K24" s="386">
        <v>10000000</v>
      </c>
      <c r="L24" s="386">
        <v>10000000</v>
      </c>
      <c r="M24" s="386">
        <v>10000000</v>
      </c>
      <c r="N24" s="386">
        <v>10000000</v>
      </c>
      <c r="O24" s="105">
        <f>SUM(C24:N24)</f>
        <v>120000000</v>
      </c>
    </row>
    <row r="25" spans="2:21">
      <c r="B25" s="103" t="s">
        <v>156</v>
      </c>
      <c r="C25" s="386">
        <v>100000000</v>
      </c>
      <c r="D25" s="386">
        <v>100000000</v>
      </c>
      <c r="E25" s="386">
        <v>100000000</v>
      </c>
      <c r="F25" s="386">
        <v>100000000</v>
      </c>
      <c r="G25" s="386">
        <v>100000000</v>
      </c>
      <c r="H25" s="386">
        <v>100000000</v>
      </c>
      <c r="I25" s="386">
        <v>100000000</v>
      </c>
      <c r="J25" s="386">
        <v>100000000</v>
      </c>
      <c r="K25" s="386">
        <v>100000000</v>
      </c>
      <c r="L25" s="386">
        <v>100000000</v>
      </c>
      <c r="M25" s="386">
        <v>100000000</v>
      </c>
      <c r="N25" s="386">
        <v>100000000</v>
      </c>
      <c r="O25" s="105">
        <f>SUM(C25:N25)</f>
        <v>1200000000</v>
      </c>
      <c r="P25" s="108"/>
    </row>
    <row r="26" spans="2:21" ht="15.75" thickBot="1">
      <c r="B26" s="102" t="s">
        <v>38</v>
      </c>
      <c r="C26" s="121">
        <f>SUM(C23:C25)</f>
        <v>111000000</v>
      </c>
      <c r="D26" s="121">
        <f t="shared" ref="D26" si="18">SUM(D23:D25)</f>
        <v>111000000</v>
      </c>
      <c r="E26" s="121">
        <f t="shared" ref="E26" si="19">SUM(E23:E25)</f>
        <v>111000000</v>
      </c>
      <c r="F26" s="121">
        <f t="shared" ref="F26" si="20">SUM(F23:F25)</f>
        <v>111000000</v>
      </c>
      <c r="G26" s="121">
        <f t="shared" ref="G26" si="21">SUM(G23:G25)</f>
        <v>111000000</v>
      </c>
      <c r="H26" s="121">
        <f t="shared" ref="H26" si="22">SUM(H23:H25)</f>
        <v>111000000</v>
      </c>
      <c r="I26" s="121">
        <f t="shared" ref="I26" si="23">SUM(I23:I25)</f>
        <v>111000000</v>
      </c>
      <c r="J26" s="121">
        <f t="shared" ref="J26" si="24">SUM(J23:J25)</f>
        <v>111000000</v>
      </c>
      <c r="K26" s="121">
        <f t="shared" ref="K26" si="25">SUM(K23:K25)</f>
        <v>111000000</v>
      </c>
      <c r="L26" s="121">
        <f t="shared" ref="L26" si="26">SUM(L23:L25)</f>
        <v>111000000</v>
      </c>
      <c r="M26" s="121">
        <f t="shared" ref="M26" si="27">SUM(M23:M25)</f>
        <v>111000000</v>
      </c>
      <c r="N26" s="121">
        <f t="shared" ref="N26" si="28">SUM(N23:N25)</f>
        <v>111000000</v>
      </c>
      <c r="O26" s="122">
        <f t="shared" ref="O26" si="29">SUM(O23:O25)</f>
        <v>1332000000</v>
      </c>
      <c r="P26" s="108"/>
    </row>
    <row r="27" spans="2:21" ht="15.75" thickBot="1">
      <c r="B27" s="112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4"/>
      <c r="P27" s="108"/>
      <c r="S27">
        <v>112</v>
      </c>
      <c r="T27">
        <v>51</v>
      </c>
      <c r="U27">
        <f>AVERAGE(S27:T27)</f>
        <v>81.5</v>
      </c>
    </row>
    <row r="28" spans="2:21">
      <c r="B28" s="117" t="s">
        <v>202</v>
      </c>
      <c r="C28" s="115">
        <v>39814</v>
      </c>
      <c r="D28" s="115">
        <v>39845</v>
      </c>
      <c r="E28" s="115">
        <v>39873</v>
      </c>
      <c r="F28" s="115">
        <v>39904</v>
      </c>
      <c r="G28" s="115">
        <v>39934</v>
      </c>
      <c r="H28" s="115">
        <v>39965</v>
      </c>
      <c r="I28" s="115">
        <v>39995</v>
      </c>
      <c r="J28" s="115">
        <v>40026</v>
      </c>
      <c r="K28" s="115">
        <v>40057</v>
      </c>
      <c r="L28" s="115">
        <v>40087</v>
      </c>
      <c r="M28" s="115">
        <v>40118</v>
      </c>
      <c r="N28" s="115">
        <v>40148</v>
      </c>
      <c r="O28" s="116" t="s">
        <v>125</v>
      </c>
    </row>
    <row r="29" spans="2:21">
      <c r="B29" s="103" t="s">
        <v>145</v>
      </c>
      <c r="C29" s="104">
        <f>+C17/SUM(C$17:C$19)*C$23</f>
        <v>409836.06557377049</v>
      </c>
      <c r="D29" s="104">
        <f t="shared" ref="D29:N29" si="30">+D17/SUM(D$17:D$19)*D$23</f>
        <v>409836.06557377049</v>
      </c>
      <c r="E29" s="104">
        <f t="shared" si="30"/>
        <v>409836.06557377049</v>
      </c>
      <c r="F29" s="104">
        <f t="shared" si="30"/>
        <v>409836.06557377049</v>
      </c>
      <c r="G29" s="104">
        <f t="shared" si="30"/>
        <v>409836.06557377049</v>
      </c>
      <c r="H29" s="104">
        <f t="shared" si="30"/>
        <v>409836.06557377049</v>
      </c>
      <c r="I29" s="104">
        <f t="shared" si="30"/>
        <v>409836.06557377049</v>
      </c>
      <c r="J29" s="104">
        <f t="shared" si="30"/>
        <v>409836.06557377049</v>
      </c>
      <c r="K29" s="104">
        <f t="shared" si="30"/>
        <v>409836.06557377049</v>
      </c>
      <c r="L29" s="104">
        <f t="shared" si="30"/>
        <v>409836.06557377049</v>
      </c>
      <c r="M29" s="104">
        <f t="shared" si="30"/>
        <v>409836.06557377049</v>
      </c>
      <c r="N29" s="104">
        <f t="shared" si="30"/>
        <v>409836.06557377049</v>
      </c>
      <c r="O29" s="105">
        <f>SUM(C29:N29)</f>
        <v>4918032.7868852457</v>
      </c>
    </row>
    <row r="30" spans="2:21">
      <c r="B30" s="103" t="s">
        <v>158</v>
      </c>
      <c r="C30" s="104">
        <f t="shared" ref="C30:N30" si="31">+C18/SUM(C$17:C$19)*C$23</f>
        <v>546448.08743169403</v>
      </c>
      <c r="D30" s="104">
        <f t="shared" si="31"/>
        <v>546448.08743169403</v>
      </c>
      <c r="E30" s="104">
        <f t="shared" si="31"/>
        <v>546448.08743169403</v>
      </c>
      <c r="F30" s="104">
        <f t="shared" si="31"/>
        <v>546448.08743169403</v>
      </c>
      <c r="G30" s="104">
        <f t="shared" si="31"/>
        <v>546448.08743169403</v>
      </c>
      <c r="H30" s="104">
        <f t="shared" si="31"/>
        <v>546448.08743169403</v>
      </c>
      <c r="I30" s="104">
        <f t="shared" si="31"/>
        <v>546448.08743169403</v>
      </c>
      <c r="J30" s="104">
        <f t="shared" si="31"/>
        <v>546448.08743169403</v>
      </c>
      <c r="K30" s="104">
        <f t="shared" si="31"/>
        <v>546448.08743169403</v>
      </c>
      <c r="L30" s="104">
        <f t="shared" si="31"/>
        <v>546448.08743169403</v>
      </c>
      <c r="M30" s="104">
        <f t="shared" si="31"/>
        <v>546448.08743169403</v>
      </c>
      <c r="N30" s="104">
        <f t="shared" si="31"/>
        <v>546448.08743169403</v>
      </c>
      <c r="O30" s="105">
        <f>SUM(C30:N30)</f>
        <v>6557377.0491803298</v>
      </c>
    </row>
    <row r="31" spans="2:21">
      <c r="B31" s="103" t="s">
        <v>150</v>
      </c>
      <c r="C31" s="104">
        <f t="shared" ref="C31:N31" si="32">+C19/SUM(C$17:C$19)*C$23</f>
        <v>43715.846994535517</v>
      </c>
      <c r="D31" s="104">
        <f t="shared" si="32"/>
        <v>43715.846994535517</v>
      </c>
      <c r="E31" s="104">
        <f t="shared" si="32"/>
        <v>43715.846994535517</v>
      </c>
      <c r="F31" s="104">
        <f t="shared" si="32"/>
        <v>43715.846994535517</v>
      </c>
      <c r="G31" s="104">
        <f t="shared" si="32"/>
        <v>43715.846994535517</v>
      </c>
      <c r="H31" s="104">
        <f t="shared" si="32"/>
        <v>43715.846994535517</v>
      </c>
      <c r="I31" s="104">
        <f t="shared" si="32"/>
        <v>43715.846994535517</v>
      </c>
      <c r="J31" s="104">
        <f t="shared" si="32"/>
        <v>43715.846994535517</v>
      </c>
      <c r="K31" s="104">
        <f t="shared" si="32"/>
        <v>43715.846994535517</v>
      </c>
      <c r="L31" s="104">
        <f t="shared" si="32"/>
        <v>43715.846994535517</v>
      </c>
      <c r="M31" s="104">
        <f t="shared" si="32"/>
        <v>43715.846994535517</v>
      </c>
      <c r="N31" s="104">
        <f t="shared" si="32"/>
        <v>43715.846994535517</v>
      </c>
      <c r="O31" s="105">
        <f>SUM(C31:N31)</f>
        <v>524590.16393442627</v>
      </c>
    </row>
    <row r="32" spans="2:21" ht="15.75" thickBot="1">
      <c r="B32" s="102" t="s">
        <v>38</v>
      </c>
      <c r="C32" s="121">
        <f>SUM(C29:C31)</f>
        <v>1000000</v>
      </c>
      <c r="D32" s="121">
        <f t="shared" ref="D32:N32" si="33">SUM(D29:D31)</f>
        <v>1000000</v>
      </c>
      <c r="E32" s="121">
        <f t="shared" si="33"/>
        <v>1000000</v>
      </c>
      <c r="F32" s="121">
        <f t="shared" si="33"/>
        <v>1000000</v>
      </c>
      <c r="G32" s="121">
        <f t="shared" si="33"/>
        <v>1000000</v>
      </c>
      <c r="H32" s="121">
        <f t="shared" si="33"/>
        <v>1000000</v>
      </c>
      <c r="I32" s="121">
        <f t="shared" si="33"/>
        <v>1000000</v>
      </c>
      <c r="J32" s="121">
        <f t="shared" si="33"/>
        <v>1000000</v>
      </c>
      <c r="K32" s="121">
        <f t="shared" si="33"/>
        <v>1000000</v>
      </c>
      <c r="L32" s="121">
        <f t="shared" si="33"/>
        <v>1000000</v>
      </c>
      <c r="M32" s="121">
        <f t="shared" si="33"/>
        <v>1000000</v>
      </c>
      <c r="N32" s="121">
        <f t="shared" si="33"/>
        <v>1000000</v>
      </c>
      <c r="O32" s="122">
        <f t="shared" ref="O32" si="34">SUM(O29:O31)</f>
        <v>12000000.000000002</v>
      </c>
    </row>
    <row r="33" spans="1:15" ht="15.75" thickBot="1"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</row>
    <row r="34" spans="1:15">
      <c r="B34" s="117" t="s">
        <v>203</v>
      </c>
      <c r="C34" s="115">
        <v>39814</v>
      </c>
      <c r="D34" s="115">
        <v>39845</v>
      </c>
      <c r="E34" s="115">
        <v>39873</v>
      </c>
      <c r="F34" s="115">
        <v>39904</v>
      </c>
      <c r="G34" s="115">
        <v>39934</v>
      </c>
      <c r="H34" s="115">
        <v>39965</v>
      </c>
      <c r="I34" s="115">
        <v>39995</v>
      </c>
      <c r="J34" s="115">
        <v>40026</v>
      </c>
      <c r="K34" s="115">
        <v>40057</v>
      </c>
      <c r="L34" s="115">
        <v>40087</v>
      </c>
      <c r="M34" s="115">
        <v>40118</v>
      </c>
      <c r="N34" s="115">
        <v>40148</v>
      </c>
      <c r="O34" s="116" t="s">
        <v>125</v>
      </c>
    </row>
    <row r="35" spans="1:15">
      <c r="B35" s="103" t="s">
        <v>145</v>
      </c>
      <c r="C35" s="104">
        <f>+C17/SUM(C$17:C$19)*C$24</f>
        <v>4098360.6557377051</v>
      </c>
      <c r="D35" s="104">
        <f t="shared" ref="D35:N35" si="35">+D17/SUM(D$17:D$19)*D$24</f>
        <v>4098360.6557377051</v>
      </c>
      <c r="E35" s="104">
        <f t="shared" si="35"/>
        <v>4098360.6557377051</v>
      </c>
      <c r="F35" s="104">
        <f t="shared" si="35"/>
        <v>4098360.6557377051</v>
      </c>
      <c r="G35" s="104">
        <f t="shared" si="35"/>
        <v>4098360.6557377051</v>
      </c>
      <c r="H35" s="104">
        <f t="shared" si="35"/>
        <v>4098360.6557377051</v>
      </c>
      <c r="I35" s="104">
        <f t="shared" si="35"/>
        <v>4098360.6557377051</v>
      </c>
      <c r="J35" s="104">
        <f t="shared" si="35"/>
        <v>4098360.6557377051</v>
      </c>
      <c r="K35" s="104">
        <f t="shared" si="35"/>
        <v>4098360.6557377051</v>
      </c>
      <c r="L35" s="104">
        <f t="shared" si="35"/>
        <v>4098360.6557377051</v>
      </c>
      <c r="M35" s="104">
        <f t="shared" si="35"/>
        <v>4098360.6557377051</v>
      </c>
      <c r="N35" s="104">
        <f t="shared" si="35"/>
        <v>4098360.6557377051</v>
      </c>
      <c r="O35" s="105">
        <f>SUM(C35:N35)</f>
        <v>49180327.868852459</v>
      </c>
    </row>
    <row r="36" spans="1:15">
      <c r="B36" s="103" t="s">
        <v>158</v>
      </c>
      <c r="C36" s="104">
        <f t="shared" ref="C36:N36" si="36">+C18/SUM(C$17:C$19)*C$24</f>
        <v>5464480.8743169401</v>
      </c>
      <c r="D36" s="104">
        <f t="shared" si="36"/>
        <v>5464480.8743169401</v>
      </c>
      <c r="E36" s="104">
        <f t="shared" si="36"/>
        <v>5464480.8743169401</v>
      </c>
      <c r="F36" s="104">
        <f t="shared" si="36"/>
        <v>5464480.8743169401</v>
      </c>
      <c r="G36" s="104">
        <f t="shared" si="36"/>
        <v>5464480.8743169401</v>
      </c>
      <c r="H36" s="104">
        <f t="shared" si="36"/>
        <v>5464480.8743169401</v>
      </c>
      <c r="I36" s="104">
        <f t="shared" si="36"/>
        <v>5464480.8743169401</v>
      </c>
      <c r="J36" s="104">
        <f t="shared" si="36"/>
        <v>5464480.8743169401</v>
      </c>
      <c r="K36" s="104">
        <f t="shared" si="36"/>
        <v>5464480.8743169401</v>
      </c>
      <c r="L36" s="104">
        <f t="shared" si="36"/>
        <v>5464480.8743169401</v>
      </c>
      <c r="M36" s="104">
        <f t="shared" si="36"/>
        <v>5464480.8743169401</v>
      </c>
      <c r="N36" s="104">
        <f t="shared" si="36"/>
        <v>5464480.8743169401</v>
      </c>
      <c r="O36" s="105">
        <f>SUM(C36:N36)</f>
        <v>65573770.491803266</v>
      </c>
    </row>
    <row r="37" spans="1:15">
      <c r="B37" s="103" t="s">
        <v>150</v>
      </c>
      <c r="C37" s="104">
        <f t="shared" ref="C37:N37" si="37">+C19/SUM(C$17:C$19)*C$24</f>
        <v>437158.4699453552</v>
      </c>
      <c r="D37" s="104">
        <f t="shared" si="37"/>
        <v>437158.4699453552</v>
      </c>
      <c r="E37" s="104">
        <f t="shared" si="37"/>
        <v>437158.4699453552</v>
      </c>
      <c r="F37" s="104">
        <f t="shared" si="37"/>
        <v>437158.4699453552</v>
      </c>
      <c r="G37" s="104">
        <f t="shared" si="37"/>
        <v>437158.4699453552</v>
      </c>
      <c r="H37" s="104">
        <f t="shared" si="37"/>
        <v>437158.4699453552</v>
      </c>
      <c r="I37" s="104">
        <f t="shared" si="37"/>
        <v>437158.4699453552</v>
      </c>
      <c r="J37" s="104">
        <f t="shared" si="37"/>
        <v>437158.4699453552</v>
      </c>
      <c r="K37" s="104">
        <f t="shared" si="37"/>
        <v>437158.4699453552</v>
      </c>
      <c r="L37" s="104">
        <f t="shared" si="37"/>
        <v>437158.4699453552</v>
      </c>
      <c r="M37" s="104">
        <f t="shared" si="37"/>
        <v>437158.4699453552</v>
      </c>
      <c r="N37" s="104">
        <f t="shared" si="37"/>
        <v>437158.4699453552</v>
      </c>
      <c r="O37" s="105">
        <f>SUM(C37:N37)</f>
        <v>5245901.6393442629</v>
      </c>
    </row>
    <row r="38" spans="1:15" ht="15.75" thickBot="1">
      <c r="B38" s="102" t="s">
        <v>38</v>
      </c>
      <c r="C38" s="121">
        <f>SUM(C35:C37)</f>
        <v>10000000</v>
      </c>
      <c r="D38" s="121">
        <f t="shared" ref="D38" si="38">SUM(D35:D37)</f>
        <v>10000000</v>
      </c>
      <c r="E38" s="121">
        <f t="shared" ref="E38" si="39">SUM(E35:E37)</f>
        <v>10000000</v>
      </c>
      <c r="F38" s="121">
        <f t="shared" ref="F38" si="40">SUM(F35:F37)</f>
        <v>10000000</v>
      </c>
      <c r="G38" s="121">
        <f t="shared" ref="G38" si="41">SUM(G35:G37)</f>
        <v>10000000</v>
      </c>
      <c r="H38" s="121">
        <f t="shared" ref="H38" si="42">SUM(H35:H37)</f>
        <v>10000000</v>
      </c>
      <c r="I38" s="121">
        <f t="shared" ref="I38" si="43">SUM(I35:I37)</f>
        <v>10000000</v>
      </c>
      <c r="J38" s="121">
        <f t="shared" ref="J38" si="44">SUM(J35:J37)</f>
        <v>10000000</v>
      </c>
      <c r="K38" s="121">
        <f t="shared" ref="K38" si="45">SUM(K35:K37)</f>
        <v>10000000</v>
      </c>
      <c r="L38" s="121">
        <f t="shared" ref="L38" si="46">SUM(L35:L37)</f>
        <v>10000000</v>
      </c>
      <c r="M38" s="121">
        <f t="shared" ref="M38" si="47">SUM(M35:M37)</f>
        <v>10000000</v>
      </c>
      <c r="N38" s="121">
        <f t="shared" ref="N38" si="48">SUM(N35:N37)</f>
        <v>10000000</v>
      </c>
      <c r="O38" s="122">
        <f t="shared" ref="O38" si="49">SUM(O35:O37)</f>
        <v>119999999.99999999</v>
      </c>
    </row>
    <row r="39" spans="1:15" ht="15.75" thickBot="1"/>
    <row r="40" spans="1:15">
      <c r="B40" s="120" t="s">
        <v>205</v>
      </c>
      <c r="C40" s="118">
        <v>39814</v>
      </c>
      <c r="D40" s="118">
        <v>39845</v>
      </c>
      <c r="E40" s="118">
        <v>39873</v>
      </c>
      <c r="F40" s="118">
        <v>39904</v>
      </c>
      <c r="G40" s="118">
        <v>39934</v>
      </c>
      <c r="H40" s="118">
        <v>39965</v>
      </c>
      <c r="I40" s="118">
        <v>39995</v>
      </c>
      <c r="J40" s="118">
        <v>40026</v>
      </c>
      <c r="K40" s="118">
        <v>40057</v>
      </c>
      <c r="L40" s="118">
        <v>40087</v>
      </c>
      <c r="M40" s="118">
        <v>40118</v>
      </c>
      <c r="N40" s="118">
        <v>40148</v>
      </c>
      <c r="O40" s="119" t="s">
        <v>125</v>
      </c>
    </row>
    <row r="41" spans="1:15">
      <c r="B41" s="103" t="s">
        <v>145</v>
      </c>
      <c r="C41" s="104">
        <f t="shared" ref="C41:N41" si="50">C11+C17+C35+C29</f>
        <v>4239508196.7213116</v>
      </c>
      <c r="D41" s="104">
        <f t="shared" si="50"/>
        <v>4239508196.7213116</v>
      </c>
      <c r="E41" s="104">
        <f t="shared" si="50"/>
        <v>4239508196.7213116</v>
      </c>
      <c r="F41" s="104">
        <f t="shared" si="50"/>
        <v>4239508196.7213116</v>
      </c>
      <c r="G41" s="104">
        <f t="shared" si="50"/>
        <v>4239508196.7213116</v>
      </c>
      <c r="H41" s="104">
        <f t="shared" si="50"/>
        <v>4239508196.7213116</v>
      </c>
      <c r="I41" s="104">
        <f t="shared" si="50"/>
        <v>4239508196.7213116</v>
      </c>
      <c r="J41" s="104">
        <f t="shared" si="50"/>
        <v>4239508196.7213116</v>
      </c>
      <c r="K41" s="104">
        <f t="shared" si="50"/>
        <v>4239508196.7213116</v>
      </c>
      <c r="L41" s="104">
        <f t="shared" si="50"/>
        <v>4239508196.7213116</v>
      </c>
      <c r="M41" s="104">
        <f t="shared" si="50"/>
        <v>4239508196.7213116</v>
      </c>
      <c r="N41" s="104">
        <f t="shared" si="50"/>
        <v>4239508196.7213116</v>
      </c>
      <c r="O41" s="105">
        <f>SUM(C41:N41)</f>
        <v>50874098360.655754</v>
      </c>
    </row>
    <row r="42" spans="1:15">
      <c r="B42" s="103" t="s">
        <v>158</v>
      </c>
      <c r="C42" s="104">
        <f t="shared" ref="C42:N42" si="51">C12+C18+C36+C30</f>
        <v>5306010928.9617491</v>
      </c>
      <c r="D42" s="104">
        <f t="shared" si="51"/>
        <v>5306010928.9617491</v>
      </c>
      <c r="E42" s="104">
        <f t="shared" si="51"/>
        <v>5306010928.9617491</v>
      </c>
      <c r="F42" s="104">
        <f t="shared" si="51"/>
        <v>5306010928.9617491</v>
      </c>
      <c r="G42" s="104">
        <f t="shared" si="51"/>
        <v>5306010928.9617491</v>
      </c>
      <c r="H42" s="104">
        <f t="shared" si="51"/>
        <v>5306010928.9617491</v>
      </c>
      <c r="I42" s="104">
        <f t="shared" si="51"/>
        <v>5306010928.9617491</v>
      </c>
      <c r="J42" s="104">
        <f t="shared" si="51"/>
        <v>5306010928.9617491</v>
      </c>
      <c r="K42" s="104">
        <f t="shared" si="51"/>
        <v>5306010928.9617491</v>
      </c>
      <c r="L42" s="104">
        <f t="shared" si="51"/>
        <v>5306010928.9617491</v>
      </c>
      <c r="M42" s="104">
        <f t="shared" si="51"/>
        <v>5306010928.9617491</v>
      </c>
      <c r="N42" s="104">
        <f t="shared" si="51"/>
        <v>5306010928.9617491</v>
      </c>
      <c r="O42" s="105">
        <f>SUM(C42:N42)</f>
        <v>63672131147.540977</v>
      </c>
    </row>
    <row r="43" spans="1:15">
      <c r="B43" s="103" t="s">
        <v>150</v>
      </c>
      <c r="C43" s="104">
        <f t="shared" ref="C43:N43" si="52">C13+C19+C37+C31</f>
        <v>1048480874.3169398</v>
      </c>
      <c r="D43" s="104">
        <f t="shared" si="52"/>
        <v>1048480874.3169398</v>
      </c>
      <c r="E43" s="104">
        <f t="shared" si="52"/>
        <v>1048480874.3169398</v>
      </c>
      <c r="F43" s="104">
        <f t="shared" si="52"/>
        <v>1048480874.3169398</v>
      </c>
      <c r="G43" s="104">
        <f t="shared" si="52"/>
        <v>1048480874.3169398</v>
      </c>
      <c r="H43" s="104">
        <f t="shared" si="52"/>
        <v>1048480874.3169398</v>
      </c>
      <c r="I43" s="104">
        <f t="shared" si="52"/>
        <v>1048480874.3169398</v>
      </c>
      <c r="J43" s="104">
        <f t="shared" si="52"/>
        <v>1048480874.3169398</v>
      </c>
      <c r="K43" s="104">
        <f t="shared" si="52"/>
        <v>1048480874.3169398</v>
      </c>
      <c r="L43" s="104">
        <f t="shared" si="52"/>
        <v>1048480874.3169398</v>
      </c>
      <c r="M43" s="104">
        <f t="shared" si="52"/>
        <v>1048480874.3169398</v>
      </c>
      <c r="N43" s="104">
        <f t="shared" si="52"/>
        <v>1048480874.3169398</v>
      </c>
      <c r="O43" s="105">
        <f>SUM(C43:N43)</f>
        <v>12581770491.803282</v>
      </c>
    </row>
    <row r="44" spans="1:15" ht="15.75" thickBot="1">
      <c r="B44" s="102" t="s">
        <v>38</v>
      </c>
      <c r="C44" s="121">
        <f>SUM(C41:C43)</f>
        <v>10594000000</v>
      </c>
      <c r="D44" s="121">
        <f t="shared" ref="D44" si="53">SUM(D41:D43)</f>
        <v>10594000000</v>
      </c>
      <c r="E44" s="121">
        <f t="shared" ref="E44" si="54">SUM(E41:E43)</f>
        <v>10594000000</v>
      </c>
      <c r="F44" s="121">
        <f t="shared" ref="F44" si="55">SUM(F41:F43)</f>
        <v>10594000000</v>
      </c>
      <c r="G44" s="121">
        <f t="shared" ref="G44" si="56">SUM(G41:G43)</f>
        <v>10594000000</v>
      </c>
      <c r="H44" s="121">
        <f t="shared" ref="H44" si="57">SUM(H41:H43)</f>
        <v>10594000000</v>
      </c>
      <c r="I44" s="121">
        <f t="shared" ref="I44" si="58">SUM(I41:I43)</f>
        <v>10594000000</v>
      </c>
      <c r="J44" s="121">
        <f t="shared" ref="J44" si="59">SUM(J41:J43)</f>
        <v>10594000000</v>
      </c>
      <c r="K44" s="121">
        <f t="shared" ref="K44" si="60">SUM(K41:K43)</f>
        <v>10594000000</v>
      </c>
      <c r="L44" s="121">
        <f t="shared" ref="L44" si="61">SUM(L41:L43)</f>
        <v>10594000000</v>
      </c>
      <c r="M44" s="121">
        <f t="shared" ref="M44" si="62">SUM(M41:M43)</f>
        <v>10594000000</v>
      </c>
      <c r="N44" s="121">
        <f t="shared" ref="N44" si="63">SUM(N41:N43)</f>
        <v>10594000000</v>
      </c>
      <c r="O44" s="122">
        <f t="shared" ref="O44" si="64">SUM(O41:O43)</f>
        <v>127128000000.00002</v>
      </c>
    </row>
    <row r="45" spans="1:15"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</row>
    <row r="46" spans="1:15" ht="15.75" thickBot="1">
      <c r="A46">
        <v>3</v>
      </c>
      <c r="B46" t="s">
        <v>131</v>
      </c>
    </row>
    <row r="47" spans="1:15">
      <c r="B47" s="125" t="s">
        <v>132</v>
      </c>
      <c r="E47" s="124" t="s">
        <v>126</v>
      </c>
      <c r="H47" s="124" t="s">
        <v>127</v>
      </c>
      <c r="K47" s="124" t="s">
        <v>128</v>
      </c>
      <c r="N47" s="124" t="s">
        <v>129</v>
      </c>
      <c r="O47" s="126" t="s">
        <v>125</v>
      </c>
    </row>
    <row r="48" spans="1:15" ht="15.75" thickBot="1">
      <c r="B48" s="127" t="s">
        <v>97</v>
      </c>
      <c r="E48" s="387">
        <v>7000000</v>
      </c>
      <c r="H48" s="387">
        <v>8000000</v>
      </c>
      <c r="K48" s="387">
        <v>8000000</v>
      </c>
      <c r="N48" s="387">
        <v>10000000</v>
      </c>
      <c r="O48" s="107">
        <f>SUM(C48:N48)</f>
        <v>33000000</v>
      </c>
    </row>
    <row r="49" spans="1:16" ht="15.75" thickBot="1"/>
    <row r="50" spans="1:16">
      <c r="B50" s="125" t="s">
        <v>132</v>
      </c>
      <c r="C50" s="124">
        <v>39814</v>
      </c>
      <c r="D50" s="124">
        <v>39845</v>
      </c>
      <c r="E50" s="124">
        <v>39873</v>
      </c>
      <c r="F50" s="124">
        <v>39904</v>
      </c>
      <c r="G50" s="124">
        <v>39934</v>
      </c>
      <c r="H50" s="124">
        <v>39965</v>
      </c>
      <c r="I50" s="124">
        <v>39995</v>
      </c>
      <c r="J50" s="124">
        <v>40026</v>
      </c>
      <c r="K50" s="124">
        <v>40057</v>
      </c>
      <c r="L50" s="124">
        <v>40087</v>
      </c>
      <c r="M50" s="124">
        <v>40118</v>
      </c>
      <c r="N50" s="124">
        <v>40148</v>
      </c>
      <c r="O50" s="126" t="s">
        <v>125</v>
      </c>
    </row>
    <row r="51" spans="1:16" ht="15.75" thickBot="1">
      <c r="B51" s="127" t="s">
        <v>97</v>
      </c>
      <c r="C51" s="128">
        <f>+C44/(SUM($C44:$E44))*$E48</f>
        <v>2333333.333333333</v>
      </c>
      <c r="D51" s="128">
        <f>+D44/(SUM($C44:$E44))*$E48</f>
        <v>2333333.333333333</v>
      </c>
      <c r="E51" s="128">
        <f>+E44/(SUM($C44:$E44))*$E48</f>
        <v>2333333.333333333</v>
      </c>
      <c r="F51" s="128">
        <f>+F44/(SUM($F44:$H44))*$H48</f>
        <v>2666666.6666666665</v>
      </c>
      <c r="G51" s="128">
        <f>+G44/(SUM($F44:$H44))*$H48</f>
        <v>2666666.6666666665</v>
      </c>
      <c r="H51" s="128">
        <f>+H44/(SUM($F44:$H44))*$H48</f>
        <v>2666666.6666666665</v>
      </c>
      <c r="I51" s="128">
        <f>+I44/(SUM($I44:$K44))*$K48</f>
        <v>2666666.6666666665</v>
      </c>
      <c r="J51" s="128">
        <f>+J44/(SUM($I44:$K44))*$K48</f>
        <v>2666666.6666666665</v>
      </c>
      <c r="K51" s="128">
        <f>+K44/(SUM($I44:$K44))*$K48</f>
        <v>2666666.6666666665</v>
      </c>
      <c r="L51" s="128">
        <f>+L44/(SUM($L44:$N44))*$N48</f>
        <v>3333333.333333333</v>
      </c>
      <c r="M51" s="128">
        <f>+M44/(SUM($L44:$N44))*$N48</f>
        <v>3333333.333333333</v>
      </c>
      <c r="N51" s="128">
        <f>+N44/(SUM($L44:$N44))*$N48</f>
        <v>3333333.333333333</v>
      </c>
      <c r="O51" s="107">
        <f>SUM(C51:N51)</f>
        <v>32999999.999999996</v>
      </c>
    </row>
    <row r="53" spans="1:16" ht="15.75" thickBot="1">
      <c r="A53">
        <v>4</v>
      </c>
      <c r="B53" t="s">
        <v>133</v>
      </c>
    </row>
    <row r="54" spans="1:16">
      <c r="B54" s="129" t="s">
        <v>204</v>
      </c>
      <c r="E54" s="130" t="s">
        <v>126</v>
      </c>
      <c r="H54" s="130" t="s">
        <v>127</v>
      </c>
      <c r="K54" s="130" t="s">
        <v>128</v>
      </c>
      <c r="N54" s="130" t="s">
        <v>129</v>
      </c>
      <c r="O54" s="131" t="s">
        <v>125</v>
      </c>
    </row>
    <row r="55" spans="1:16" ht="15.75" thickBot="1">
      <c r="B55" s="127" t="s">
        <v>105</v>
      </c>
      <c r="E55" s="387">
        <v>800000</v>
      </c>
      <c r="H55" s="387">
        <v>900000</v>
      </c>
      <c r="K55" s="387">
        <v>1500000</v>
      </c>
      <c r="N55" s="387">
        <v>2000000</v>
      </c>
      <c r="O55" s="107">
        <f>SUM(C55:N55)</f>
        <v>5200000</v>
      </c>
    </row>
    <row r="56" spans="1:16" ht="15.75" thickBot="1"/>
    <row r="57" spans="1:16">
      <c r="B57" s="129" t="s">
        <v>134</v>
      </c>
      <c r="C57" s="130">
        <v>39814</v>
      </c>
      <c r="D57" s="130">
        <v>39845</v>
      </c>
      <c r="E57" s="130">
        <v>39873</v>
      </c>
      <c r="F57" s="130">
        <v>39904</v>
      </c>
      <c r="G57" s="130">
        <v>39934</v>
      </c>
      <c r="H57" s="130">
        <v>39965</v>
      </c>
      <c r="I57" s="130">
        <v>39995</v>
      </c>
      <c r="J57" s="130">
        <v>40026</v>
      </c>
      <c r="K57" s="130">
        <v>40057</v>
      </c>
      <c r="L57" s="130">
        <v>40087</v>
      </c>
      <c r="M57" s="130">
        <v>40118</v>
      </c>
      <c r="N57" s="130">
        <v>40148</v>
      </c>
      <c r="O57" s="131" t="s">
        <v>125</v>
      </c>
    </row>
    <row r="58" spans="1:16" ht="15.75" thickBot="1">
      <c r="B58" s="127" t="s">
        <v>105</v>
      </c>
      <c r="C58" s="128">
        <f>+C44/(SUM($C44:$E44))*$E55</f>
        <v>266666.66666666663</v>
      </c>
      <c r="D58" s="128">
        <f t="shared" ref="D58:E58" si="65">+D44/(SUM($C44:$E44))*$E55</f>
        <v>266666.66666666663</v>
      </c>
      <c r="E58" s="128">
        <f t="shared" si="65"/>
        <v>266666.66666666663</v>
      </c>
      <c r="F58" s="128">
        <f>+F44/(SUM($F44:$H44))*$H55</f>
        <v>300000</v>
      </c>
      <c r="G58" s="128">
        <f t="shared" ref="G58:H58" si="66">+G44/(SUM($F44:$H44))*$H55</f>
        <v>300000</v>
      </c>
      <c r="H58" s="128">
        <f t="shared" si="66"/>
        <v>300000</v>
      </c>
      <c r="I58" s="128">
        <f>+I44/(SUM($I44:$K44))*$K55</f>
        <v>500000</v>
      </c>
      <c r="J58" s="128">
        <f t="shared" ref="J58:K58" si="67">+J44/(SUM($I44:$K44))*$K55</f>
        <v>500000</v>
      </c>
      <c r="K58" s="128">
        <f t="shared" si="67"/>
        <v>500000</v>
      </c>
      <c r="L58" s="128">
        <f>+L44/(SUM($L44:$N44))*$N55</f>
        <v>666666.66666666663</v>
      </c>
      <c r="M58" s="128">
        <f t="shared" ref="M58:N58" si="68">+M44/(SUM($L44:$N44))*$N55</f>
        <v>666666.66666666663</v>
      </c>
      <c r="N58" s="128">
        <f t="shared" si="68"/>
        <v>666666.66666666663</v>
      </c>
      <c r="O58" s="107">
        <f>SUM(C58:N58)</f>
        <v>5200000</v>
      </c>
      <c r="P58" s="108"/>
    </row>
    <row r="73" spans="15:16">
      <c r="P73" s="52">
        <f>'Tráficos HP'!F10+'Tráficos HP'!F11*0</f>
        <v>295462.71813855105</v>
      </c>
    </row>
    <row r="74" spans="15:16">
      <c r="P74" s="211">
        <v>1</v>
      </c>
    </row>
    <row r="75" spans="15:16">
      <c r="P75" s="52">
        <f>P73*P74</f>
        <v>295462.71813855105</v>
      </c>
    </row>
    <row r="76" spans="15:16">
      <c r="P76" s="211">
        <v>0.01</v>
      </c>
    </row>
    <row r="77" spans="15:16">
      <c r="O77" t="s">
        <v>196</v>
      </c>
      <c r="P77" s="52">
        <f>P75/60</f>
        <v>4924.3786356425171</v>
      </c>
    </row>
    <row r="78" spans="15:16">
      <c r="O78" t="s">
        <v>197</v>
      </c>
      <c r="P78" s="52">
        <f>P77</f>
        <v>4924.3786356425171</v>
      </c>
    </row>
    <row r="79" spans="15:16">
      <c r="P79">
        <f>ROUNDUP(P78/30,0)</f>
        <v>165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142"/>
  <sheetViews>
    <sheetView tabSelected="1" zoomScale="90" zoomScaleNormal="90" workbookViewId="0">
      <selection activeCell="C130" sqref="C130:H134"/>
    </sheetView>
  </sheetViews>
  <sheetFormatPr baseColWidth="10" defaultColWidth="9.140625" defaultRowHeight="12.75"/>
  <cols>
    <col min="1" max="1" width="9.140625" style="86"/>
    <col min="2" max="2" width="21.140625" style="86" bestFit="1" customWidth="1"/>
    <col min="3" max="3" width="13.28515625" style="86" bestFit="1" customWidth="1"/>
    <col min="4" max="4" width="15" style="86" bestFit="1" customWidth="1"/>
    <col min="5" max="5" width="14.140625" style="86" customWidth="1"/>
    <col min="6" max="6" width="18.140625" style="86" bestFit="1" customWidth="1"/>
    <col min="7" max="9" width="17.7109375" style="86" customWidth="1"/>
    <col min="10" max="10" width="4.5703125" style="86" customWidth="1"/>
    <col min="11" max="11" width="19.5703125" style="86" customWidth="1"/>
    <col min="12" max="12" width="18.5703125" style="86" bestFit="1" customWidth="1"/>
    <col min="13" max="14" width="15.7109375" style="86" bestFit="1" customWidth="1"/>
    <col min="15" max="15" width="18.140625" style="86" bestFit="1" customWidth="1"/>
    <col min="16" max="16" width="18" style="86" customWidth="1"/>
    <col min="17" max="17" width="17.85546875" style="86" customWidth="1"/>
    <col min="18" max="23" width="15.7109375" style="86" bestFit="1" customWidth="1"/>
    <col min="24" max="24" width="17.140625" style="86" bestFit="1" customWidth="1"/>
    <col min="25" max="256" width="9.140625" style="86"/>
    <col min="257" max="257" width="18.5703125" style="86" customWidth="1"/>
    <col min="258" max="258" width="14.7109375" style="86" bestFit="1" customWidth="1"/>
    <col min="259" max="259" width="13.42578125" style="86" bestFit="1" customWidth="1"/>
    <col min="260" max="260" width="13.42578125" style="86" customWidth="1"/>
    <col min="261" max="261" width="14.140625" style="86" customWidth="1"/>
    <col min="262" max="264" width="16" style="86" customWidth="1"/>
    <col min="265" max="265" width="16.85546875" style="86" customWidth="1"/>
    <col min="266" max="266" width="13.28515625" style="86" bestFit="1" customWidth="1"/>
    <col min="267" max="512" width="9.140625" style="86"/>
    <col min="513" max="513" width="18.5703125" style="86" customWidth="1"/>
    <col min="514" max="514" width="14.7109375" style="86" bestFit="1" customWidth="1"/>
    <col min="515" max="515" width="13.42578125" style="86" bestFit="1" customWidth="1"/>
    <col min="516" max="516" width="13.42578125" style="86" customWidth="1"/>
    <col min="517" max="517" width="14.140625" style="86" customWidth="1"/>
    <col min="518" max="520" width="16" style="86" customWidth="1"/>
    <col min="521" max="521" width="16.85546875" style="86" customWidth="1"/>
    <col min="522" max="522" width="13.28515625" style="86" bestFit="1" customWidth="1"/>
    <col min="523" max="768" width="9.140625" style="86"/>
    <col min="769" max="769" width="18.5703125" style="86" customWidth="1"/>
    <col min="770" max="770" width="14.7109375" style="86" bestFit="1" customWidth="1"/>
    <col min="771" max="771" width="13.42578125" style="86" bestFit="1" customWidth="1"/>
    <col min="772" max="772" width="13.42578125" style="86" customWidth="1"/>
    <col min="773" max="773" width="14.140625" style="86" customWidth="1"/>
    <col min="774" max="776" width="16" style="86" customWidth="1"/>
    <col min="777" max="777" width="16.85546875" style="86" customWidth="1"/>
    <col min="778" max="778" width="13.28515625" style="86" bestFit="1" customWidth="1"/>
    <col min="779" max="1024" width="9.140625" style="86"/>
    <col min="1025" max="1025" width="18.5703125" style="86" customWidth="1"/>
    <col min="1026" max="1026" width="14.7109375" style="86" bestFit="1" customWidth="1"/>
    <col min="1027" max="1027" width="13.42578125" style="86" bestFit="1" customWidth="1"/>
    <col min="1028" max="1028" width="13.42578125" style="86" customWidth="1"/>
    <col min="1029" max="1029" width="14.140625" style="86" customWidth="1"/>
    <col min="1030" max="1032" width="16" style="86" customWidth="1"/>
    <col min="1033" max="1033" width="16.85546875" style="86" customWidth="1"/>
    <col min="1034" max="1034" width="13.28515625" style="86" bestFit="1" customWidth="1"/>
    <col min="1035" max="1280" width="9.140625" style="86"/>
    <col min="1281" max="1281" width="18.5703125" style="86" customWidth="1"/>
    <col min="1282" max="1282" width="14.7109375" style="86" bestFit="1" customWidth="1"/>
    <col min="1283" max="1283" width="13.42578125" style="86" bestFit="1" customWidth="1"/>
    <col min="1284" max="1284" width="13.42578125" style="86" customWidth="1"/>
    <col min="1285" max="1285" width="14.140625" style="86" customWidth="1"/>
    <col min="1286" max="1288" width="16" style="86" customWidth="1"/>
    <col min="1289" max="1289" width="16.85546875" style="86" customWidth="1"/>
    <col min="1290" max="1290" width="13.28515625" style="86" bestFit="1" customWidth="1"/>
    <col min="1291" max="1536" width="9.140625" style="86"/>
    <col min="1537" max="1537" width="18.5703125" style="86" customWidth="1"/>
    <col min="1538" max="1538" width="14.7109375" style="86" bestFit="1" customWidth="1"/>
    <col min="1539" max="1539" width="13.42578125" style="86" bestFit="1" customWidth="1"/>
    <col min="1540" max="1540" width="13.42578125" style="86" customWidth="1"/>
    <col min="1541" max="1541" width="14.140625" style="86" customWidth="1"/>
    <col min="1542" max="1544" width="16" style="86" customWidth="1"/>
    <col min="1545" max="1545" width="16.85546875" style="86" customWidth="1"/>
    <col min="1546" max="1546" width="13.28515625" style="86" bestFit="1" customWidth="1"/>
    <col min="1547" max="1792" width="9.140625" style="86"/>
    <col min="1793" max="1793" width="18.5703125" style="86" customWidth="1"/>
    <col min="1794" max="1794" width="14.7109375" style="86" bestFit="1" customWidth="1"/>
    <col min="1795" max="1795" width="13.42578125" style="86" bestFit="1" customWidth="1"/>
    <col min="1796" max="1796" width="13.42578125" style="86" customWidth="1"/>
    <col min="1797" max="1797" width="14.140625" style="86" customWidth="1"/>
    <col min="1798" max="1800" width="16" style="86" customWidth="1"/>
    <col min="1801" max="1801" width="16.85546875" style="86" customWidth="1"/>
    <col min="1802" max="1802" width="13.28515625" style="86" bestFit="1" customWidth="1"/>
    <col min="1803" max="2048" width="9.140625" style="86"/>
    <col min="2049" max="2049" width="18.5703125" style="86" customWidth="1"/>
    <col min="2050" max="2050" width="14.7109375" style="86" bestFit="1" customWidth="1"/>
    <col min="2051" max="2051" width="13.42578125" style="86" bestFit="1" customWidth="1"/>
    <col min="2052" max="2052" width="13.42578125" style="86" customWidth="1"/>
    <col min="2053" max="2053" width="14.140625" style="86" customWidth="1"/>
    <col min="2054" max="2056" width="16" style="86" customWidth="1"/>
    <col min="2057" max="2057" width="16.85546875" style="86" customWidth="1"/>
    <col min="2058" max="2058" width="13.28515625" style="86" bestFit="1" customWidth="1"/>
    <col min="2059" max="2304" width="9.140625" style="86"/>
    <col min="2305" max="2305" width="18.5703125" style="86" customWidth="1"/>
    <col min="2306" max="2306" width="14.7109375" style="86" bestFit="1" customWidth="1"/>
    <col min="2307" max="2307" width="13.42578125" style="86" bestFit="1" customWidth="1"/>
    <col min="2308" max="2308" width="13.42578125" style="86" customWidth="1"/>
    <col min="2309" max="2309" width="14.140625" style="86" customWidth="1"/>
    <col min="2310" max="2312" width="16" style="86" customWidth="1"/>
    <col min="2313" max="2313" width="16.85546875" style="86" customWidth="1"/>
    <col min="2314" max="2314" width="13.28515625" style="86" bestFit="1" customWidth="1"/>
    <col min="2315" max="2560" width="9.140625" style="86"/>
    <col min="2561" max="2561" width="18.5703125" style="86" customWidth="1"/>
    <col min="2562" max="2562" width="14.7109375" style="86" bestFit="1" customWidth="1"/>
    <col min="2563" max="2563" width="13.42578125" style="86" bestFit="1" customWidth="1"/>
    <col min="2564" max="2564" width="13.42578125" style="86" customWidth="1"/>
    <col min="2565" max="2565" width="14.140625" style="86" customWidth="1"/>
    <col min="2566" max="2568" width="16" style="86" customWidth="1"/>
    <col min="2569" max="2569" width="16.85546875" style="86" customWidth="1"/>
    <col min="2570" max="2570" width="13.28515625" style="86" bestFit="1" customWidth="1"/>
    <col min="2571" max="2816" width="9.140625" style="86"/>
    <col min="2817" max="2817" width="18.5703125" style="86" customWidth="1"/>
    <col min="2818" max="2818" width="14.7109375" style="86" bestFit="1" customWidth="1"/>
    <col min="2819" max="2819" width="13.42578125" style="86" bestFit="1" customWidth="1"/>
    <col min="2820" max="2820" width="13.42578125" style="86" customWidth="1"/>
    <col min="2821" max="2821" width="14.140625" style="86" customWidth="1"/>
    <col min="2822" max="2824" width="16" style="86" customWidth="1"/>
    <col min="2825" max="2825" width="16.85546875" style="86" customWidth="1"/>
    <col min="2826" max="2826" width="13.28515625" style="86" bestFit="1" customWidth="1"/>
    <col min="2827" max="3072" width="9.140625" style="86"/>
    <col min="3073" max="3073" width="18.5703125" style="86" customWidth="1"/>
    <col min="3074" max="3074" width="14.7109375" style="86" bestFit="1" customWidth="1"/>
    <col min="3075" max="3075" width="13.42578125" style="86" bestFit="1" customWidth="1"/>
    <col min="3076" max="3076" width="13.42578125" style="86" customWidth="1"/>
    <col min="3077" max="3077" width="14.140625" style="86" customWidth="1"/>
    <col min="3078" max="3080" width="16" style="86" customWidth="1"/>
    <col min="3081" max="3081" width="16.85546875" style="86" customWidth="1"/>
    <col min="3082" max="3082" width="13.28515625" style="86" bestFit="1" customWidth="1"/>
    <col min="3083" max="3328" width="9.140625" style="86"/>
    <col min="3329" max="3329" width="18.5703125" style="86" customWidth="1"/>
    <col min="3330" max="3330" width="14.7109375" style="86" bestFit="1" customWidth="1"/>
    <col min="3331" max="3331" width="13.42578125" style="86" bestFit="1" customWidth="1"/>
    <col min="3332" max="3332" width="13.42578125" style="86" customWidth="1"/>
    <col min="3333" max="3333" width="14.140625" style="86" customWidth="1"/>
    <col min="3334" max="3336" width="16" style="86" customWidth="1"/>
    <col min="3337" max="3337" width="16.85546875" style="86" customWidth="1"/>
    <col min="3338" max="3338" width="13.28515625" style="86" bestFit="1" customWidth="1"/>
    <col min="3339" max="3584" width="9.140625" style="86"/>
    <col min="3585" max="3585" width="18.5703125" style="86" customWidth="1"/>
    <col min="3586" max="3586" width="14.7109375" style="86" bestFit="1" customWidth="1"/>
    <col min="3587" max="3587" width="13.42578125" style="86" bestFit="1" customWidth="1"/>
    <col min="3588" max="3588" width="13.42578125" style="86" customWidth="1"/>
    <col min="3589" max="3589" width="14.140625" style="86" customWidth="1"/>
    <col min="3590" max="3592" width="16" style="86" customWidth="1"/>
    <col min="3593" max="3593" width="16.85546875" style="86" customWidth="1"/>
    <col min="3594" max="3594" width="13.28515625" style="86" bestFit="1" customWidth="1"/>
    <col min="3595" max="3840" width="9.140625" style="86"/>
    <col min="3841" max="3841" width="18.5703125" style="86" customWidth="1"/>
    <col min="3842" max="3842" width="14.7109375" style="86" bestFit="1" customWidth="1"/>
    <col min="3843" max="3843" width="13.42578125" style="86" bestFit="1" customWidth="1"/>
    <col min="3844" max="3844" width="13.42578125" style="86" customWidth="1"/>
    <col min="3845" max="3845" width="14.140625" style="86" customWidth="1"/>
    <col min="3846" max="3848" width="16" style="86" customWidth="1"/>
    <col min="3849" max="3849" width="16.85546875" style="86" customWidth="1"/>
    <col min="3850" max="3850" width="13.28515625" style="86" bestFit="1" customWidth="1"/>
    <col min="3851" max="4096" width="9.140625" style="86"/>
    <col min="4097" max="4097" width="18.5703125" style="86" customWidth="1"/>
    <col min="4098" max="4098" width="14.7109375" style="86" bestFit="1" customWidth="1"/>
    <col min="4099" max="4099" width="13.42578125" style="86" bestFit="1" customWidth="1"/>
    <col min="4100" max="4100" width="13.42578125" style="86" customWidth="1"/>
    <col min="4101" max="4101" width="14.140625" style="86" customWidth="1"/>
    <col min="4102" max="4104" width="16" style="86" customWidth="1"/>
    <col min="4105" max="4105" width="16.85546875" style="86" customWidth="1"/>
    <col min="4106" max="4106" width="13.28515625" style="86" bestFit="1" customWidth="1"/>
    <col min="4107" max="4352" width="9.140625" style="86"/>
    <col min="4353" max="4353" width="18.5703125" style="86" customWidth="1"/>
    <col min="4354" max="4354" width="14.7109375" style="86" bestFit="1" customWidth="1"/>
    <col min="4355" max="4355" width="13.42578125" style="86" bestFit="1" customWidth="1"/>
    <col min="4356" max="4356" width="13.42578125" style="86" customWidth="1"/>
    <col min="4357" max="4357" width="14.140625" style="86" customWidth="1"/>
    <col min="4358" max="4360" width="16" style="86" customWidth="1"/>
    <col min="4361" max="4361" width="16.85546875" style="86" customWidth="1"/>
    <col min="4362" max="4362" width="13.28515625" style="86" bestFit="1" customWidth="1"/>
    <col min="4363" max="4608" width="9.140625" style="86"/>
    <col min="4609" max="4609" width="18.5703125" style="86" customWidth="1"/>
    <col min="4610" max="4610" width="14.7109375" style="86" bestFit="1" customWidth="1"/>
    <col min="4611" max="4611" width="13.42578125" style="86" bestFit="1" customWidth="1"/>
    <col min="4612" max="4612" width="13.42578125" style="86" customWidth="1"/>
    <col min="4613" max="4613" width="14.140625" style="86" customWidth="1"/>
    <col min="4614" max="4616" width="16" style="86" customWidth="1"/>
    <col min="4617" max="4617" width="16.85546875" style="86" customWidth="1"/>
    <col min="4618" max="4618" width="13.28515625" style="86" bestFit="1" customWidth="1"/>
    <col min="4619" max="4864" width="9.140625" style="86"/>
    <col min="4865" max="4865" width="18.5703125" style="86" customWidth="1"/>
    <col min="4866" max="4866" width="14.7109375" style="86" bestFit="1" customWidth="1"/>
    <col min="4867" max="4867" width="13.42578125" style="86" bestFit="1" customWidth="1"/>
    <col min="4868" max="4868" width="13.42578125" style="86" customWidth="1"/>
    <col min="4869" max="4869" width="14.140625" style="86" customWidth="1"/>
    <col min="4870" max="4872" width="16" style="86" customWidth="1"/>
    <col min="4873" max="4873" width="16.85546875" style="86" customWidth="1"/>
    <col min="4874" max="4874" width="13.28515625" style="86" bestFit="1" customWidth="1"/>
    <col min="4875" max="5120" width="9.140625" style="86"/>
    <col min="5121" max="5121" width="18.5703125" style="86" customWidth="1"/>
    <col min="5122" max="5122" width="14.7109375" style="86" bestFit="1" customWidth="1"/>
    <col min="5123" max="5123" width="13.42578125" style="86" bestFit="1" customWidth="1"/>
    <col min="5124" max="5124" width="13.42578125" style="86" customWidth="1"/>
    <col min="5125" max="5125" width="14.140625" style="86" customWidth="1"/>
    <col min="5126" max="5128" width="16" style="86" customWidth="1"/>
    <col min="5129" max="5129" width="16.85546875" style="86" customWidth="1"/>
    <col min="5130" max="5130" width="13.28515625" style="86" bestFit="1" customWidth="1"/>
    <col min="5131" max="5376" width="9.140625" style="86"/>
    <col min="5377" max="5377" width="18.5703125" style="86" customWidth="1"/>
    <col min="5378" max="5378" width="14.7109375" style="86" bestFit="1" customWidth="1"/>
    <col min="5379" max="5379" width="13.42578125" style="86" bestFit="1" customWidth="1"/>
    <col min="5380" max="5380" width="13.42578125" style="86" customWidth="1"/>
    <col min="5381" max="5381" width="14.140625" style="86" customWidth="1"/>
    <col min="5382" max="5384" width="16" style="86" customWidth="1"/>
    <col min="5385" max="5385" width="16.85546875" style="86" customWidth="1"/>
    <col min="5386" max="5386" width="13.28515625" style="86" bestFit="1" customWidth="1"/>
    <col min="5387" max="5632" width="9.140625" style="86"/>
    <col min="5633" max="5633" width="18.5703125" style="86" customWidth="1"/>
    <col min="5634" max="5634" width="14.7109375" style="86" bestFit="1" customWidth="1"/>
    <col min="5635" max="5635" width="13.42578125" style="86" bestFit="1" customWidth="1"/>
    <col min="5636" max="5636" width="13.42578125" style="86" customWidth="1"/>
    <col min="5637" max="5637" width="14.140625" style="86" customWidth="1"/>
    <col min="5638" max="5640" width="16" style="86" customWidth="1"/>
    <col min="5641" max="5641" width="16.85546875" style="86" customWidth="1"/>
    <col min="5642" max="5642" width="13.28515625" style="86" bestFit="1" customWidth="1"/>
    <col min="5643" max="5888" width="9.140625" style="86"/>
    <col min="5889" max="5889" width="18.5703125" style="86" customWidth="1"/>
    <col min="5890" max="5890" width="14.7109375" style="86" bestFit="1" customWidth="1"/>
    <col min="5891" max="5891" width="13.42578125" style="86" bestFit="1" customWidth="1"/>
    <col min="5892" max="5892" width="13.42578125" style="86" customWidth="1"/>
    <col min="5893" max="5893" width="14.140625" style="86" customWidth="1"/>
    <col min="5894" max="5896" width="16" style="86" customWidth="1"/>
    <col min="5897" max="5897" width="16.85546875" style="86" customWidth="1"/>
    <col min="5898" max="5898" width="13.28515625" style="86" bestFit="1" customWidth="1"/>
    <col min="5899" max="6144" width="9.140625" style="86"/>
    <col min="6145" max="6145" width="18.5703125" style="86" customWidth="1"/>
    <col min="6146" max="6146" width="14.7109375" style="86" bestFit="1" customWidth="1"/>
    <col min="6147" max="6147" width="13.42578125" style="86" bestFit="1" customWidth="1"/>
    <col min="6148" max="6148" width="13.42578125" style="86" customWidth="1"/>
    <col min="6149" max="6149" width="14.140625" style="86" customWidth="1"/>
    <col min="6150" max="6152" width="16" style="86" customWidth="1"/>
    <col min="6153" max="6153" width="16.85546875" style="86" customWidth="1"/>
    <col min="6154" max="6154" width="13.28515625" style="86" bestFit="1" customWidth="1"/>
    <col min="6155" max="6400" width="9.140625" style="86"/>
    <col min="6401" max="6401" width="18.5703125" style="86" customWidth="1"/>
    <col min="6402" max="6402" width="14.7109375" style="86" bestFit="1" customWidth="1"/>
    <col min="6403" max="6403" width="13.42578125" style="86" bestFit="1" customWidth="1"/>
    <col min="6404" max="6404" width="13.42578125" style="86" customWidth="1"/>
    <col min="6405" max="6405" width="14.140625" style="86" customWidth="1"/>
    <col min="6406" max="6408" width="16" style="86" customWidth="1"/>
    <col min="6409" max="6409" width="16.85546875" style="86" customWidth="1"/>
    <col min="6410" max="6410" width="13.28515625" style="86" bestFit="1" customWidth="1"/>
    <col min="6411" max="6656" width="9.140625" style="86"/>
    <col min="6657" max="6657" width="18.5703125" style="86" customWidth="1"/>
    <col min="6658" max="6658" width="14.7109375" style="86" bestFit="1" customWidth="1"/>
    <col min="6659" max="6659" width="13.42578125" style="86" bestFit="1" customWidth="1"/>
    <col min="6660" max="6660" width="13.42578125" style="86" customWidth="1"/>
    <col min="6661" max="6661" width="14.140625" style="86" customWidth="1"/>
    <col min="6662" max="6664" width="16" style="86" customWidth="1"/>
    <col min="6665" max="6665" width="16.85546875" style="86" customWidth="1"/>
    <col min="6666" max="6666" width="13.28515625" style="86" bestFit="1" customWidth="1"/>
    <col min="6667" max="6912" width="9.140625" style="86"/>
    <col min="6913" max="6913" width="18.5703125" style="86" customWidth="1"/>
    <col min="6914" max="6914" width="14.7109375" style="86" bestFit="1" customWidth="1"/>
    <col min="6915" max="6915" width="13.42578125" style="86" bestFit="1" customWidth="1"/>
    <col min="6916" max="6916" width="13.42578125" style="86" customWidth="1"/>
    <col min="6917" max="6917" width="14.140625" style="86" customWidth="1"/>
    <col min="6918" max="6920" width="16" style="86" customWidth="1"/>
    <col min="6921" max="6921" width="16.85546875" style="86" customWidth="1"/>
    <col min="6922" max="6922" width="13.28515625" style="86" bestFit="1" customWidth="1"/>
    <col min="6923" max="7168" width="9.140625" style="86"/>
    <col min="7169" max="7169" width="18.5703125" style="86" customWidth="1"/>
    <col min="7170" max="7170" width="14.7109375" style="86" bestFit="1" customWidth="1"/>
    <col min="7171" max="7171" width="13.42578125" style="86" bestFit="1" customWidth="1"/>
    <col min="7172" max="7172" width="13.42578125" style="86" customWidth="1"/>
    <col min="7173" max="7173" width="14.140625" style="86" customWidth="1"/>
    <col min="7174" max="7176" width="16" style="86" customWidth="1"/>
    <col min="7177" max="7177" width="16.85546875" style="86" customWidth="1"/>
    <col min="7178" max="7178" width="13.28515625" style="86" bestFit="1" customWidth="1"/>
    <col min="7179" max="7424" width="9.140625" style="86"/>
    <col min="7425" max="7425" width="18.5703125" style="86" customWidth="1"/>
    <col min="7426" max="7426" width="14.7109375" style="86" bestFit="1" customWidth="1"/>
    <col min="7427" max="7427" width="13.42578125" style="86" bestFit="1" customWidth="1"/>
    <col min="7428" max="7428" width="13.42578125" style="86" customWidth="1"/>
    <col min="7429" max="7429" width="14.140625" style="86" customWidth="1"/>
    <col min="7430" max="7432" width="16" style="86" customWidth="1"/>
    <col min="7433" max="7433" width="16.85546875" style="86" customWidth="1"/>
    <col min="7434" max="7434" width="13.28515625" style="86" bestFit="1" customWidth="1"/>
    <col min="7435" max="7680" width="9.140625" style="86"/>
    <col min="7681" max="7681" width="18.5703125" style="86" customWidth="1"/>
    <col min="7682" max="7682" width="14.7109375" style="86" bestFit="1" customWidth="1"/>
    <col min="7683" max="7683" width="13.42578125" style="86" bestFit="1" customWidth="1"/>
    <col min="7684" max="7684" width="13.42578125" style="86" customWidth="1"/>
    <col min="7685" max="7685" width="14.140625" style="86" customWidth="1"/>
    <col min="7686" max="7688" width="16" style="86" customWidth="1"/>
    <col min="7689" max="7689" width="16.85546875" style="86" customWidth="1"/>
    <col min="7690" max="7690" width="13.28515625" style="86" bestFit="1" customWidth="1"/>
    <col min="7691" max="7936" width="9.140625" style="86"/>
    <col min="7937" max="7937" width="18.5703125" style="86" customWidth="1"/>
    <col min="7938" max="7938" width="14.7109375" style="86" bestFit="1" customWidth="1"/>
    <col min="7939" max="7939" width="13.42578125" style="86" bestFit="1" customWidth="1"/>
    <col min="7940" max="7940" width="13.42578125" style="86" customWidth="1"/>
    <col min="7941" max="7941" width="14.140625" style="86" customWidth="1"/>
    <col min="7942" max="7944" width="16" style="86" customWidth="1"/>
    <col min="7945" max="7945" width="16.85546875" style="86" customWidth="1"/>
    <col min="7946" max="7946" width="13.28515625" style="86" bestFit="1" customWidth="1"/>
    <col min="7947" max="8192" width="9.140625" style="86"/>
    <col min="8193" max="8193" width="18.5703125" style="86" customWidth="1"/>
    <col min="8194" max="8194" width="14.7109375" style="86" bestFit="1" customWidth="1"/>
    <col min="8195" max="8195" width="13.42578125" style="86" bestFit="1" customWidth="1"/>
    <col min="8196" max="8196" width="13.42578125" style="86" customWidth="1"/>
    <col min="8197" max="8197" width="14.140625" style="86" customWidth="1"/>
    <col min="8198" max="8200" width="16" style="86" customWidth="1"/>
    <col min="8201" max="8201" width="16.85546875" style="86" customWidth="1"/>
    <col min="8202" max="8202" width="13.28515625" style="86" bestFit="1" customWidth="1"/>
    <col min="8203" max="8448" width="9.140625" style="86"/>
    <col min="8449" max="8449" width="18.5703125" style="86" customWidth="1"/>
    <col min="8450" max="8450" width="14.7109375" style="86" bestFit="1" customWidth="1"/>
    <col min="8451" max="8451" width="13.42578125" style="86" bestFit="1" customWidth="1"/>
    <col min="8452" max="8452" width="13.42578125" style="86" customWidth="1"/>
    <col min="8453" max="8453" width="14.140625" style="86" customWidth="1"/>
    <col min="8454" max="8456" width="16" style="86" customWidth="1"/>
    <col min="8457" max="8457" width="16.85546875" style="86" customWidth="1"/>
    <col min="8458" max="8458" width="13.28515625" style="86" bestFit="1" customWidth="1"/>
    <col min="8459" max="8704" width="9.140625" style="86"/>
    <col min="8705" max="8705" width="18.5703125" style="86" customWidth="1"/>
    <col min="8706" max="8706" width="14.7109375" style="86" bestFit="1" customWidth="1"/>
    <col min="8707" max="8707" width="13.42578125" style="86" bestFit="1" customWidth="1"/>
    <col min="8708" max="8708" width="13.42578125" style="86" customWidth="1"/>
    <col min="8709" max="8709" width="14.140625" style="86" customWidth="1"/>
    <col min="8710" max="8712" width="16" style="86" customWidth="1"/>
    <col min="8713" max="8713" width="16.85546875" style="86" customWidth="1"/>
    <col min="8714" max="8714" width="13.28515625" style="86" bestFit="1" customWidth="1"/>
    <col min="8715" max="8960" width="9.140625" style="86"/>
    <col min="8961" max="8961" width="18.5703125" style="86" customWidth="1"/>
    <col min="8962" max="8962" width="14.7109375" style="86" bestFit="1" customWidth="1"/>
    <col min="8963" max="8963" width="13.42578125" style="86" bestFit="1" customWidth="1"/>
    <col min="8964" max="8964" width="13.42578125" style="86" customWidth="1"/>
    <col min="8965" max="8965" width="14.140625" style="86" customWidth="1"/>
    <col min="8966" max="8968" width="16" style="86" customWidth="1"/>
    <col min="8969" max="8969" width="16.85546875" style="86" customWidth="1"/>
    <col min="8970" max="8970" width="13.28515625" style="86" bestFit="1" customWidth="1"/>
    <col min="8971" max="9216" width="9.140625" style="86"/>
    <col min="9217" max="9217" width="18.5703125" style="86" customWidth="1"/>
    <col min="9218" max="9218" width="14.7109375" style="86" bestFit="1" customWidth="1"/>
    <col min="9219" max="9219" width="13.42578125" style="86" bestFit="1" customWidth="1"/>
    <col min="9220" max="9220" width="13.42578125" style="86" customWidth="1"/>
    <col min="9221" max="9221" width="14.140625" style="86" customWidth="1"/>
    <col min="9222" max="9224" width="16" style="86" customWidth="1"/>
    <col min="9225" max="9225" width="16.85546875" style="86" customWidth="1"/>
    <col min="9226" max="9226" width="13.28515625" style="86" bestFit="1" customWidth="1"/>
    <col min="9227" max="9472" width="9.140625" style="86"/>
    <col min="9473" max="9473" width="18.5703125" style="86" customWidth="1"/>
    <col min="9474" max="9474" width="14.7109375" style="86" bestFit="1" customWidth="1"/>
    <col min="9475" max="9475" width="13.42578125" style="86" bestFit="1" customWidth="1"/>
    <col min="9476" max="9476" width="13.42578125" style="86" customWidth="1"/>
    <col min="9477" max="9477" width="14.140625" style="86" customWidth="1"/>
    <col min="9478" max="9480" width="16" style="86" customWidth="1"/>
    <col min="9481" max="9481" width="16.85546875" style="86" customWidth="1"/>
    <col min="9482" max="9482" width="13.28515625" style="86" bestFit="1" customWidth="1"/>
    <col min="9483" max="9728" width="9.140625" style="86"/>
    <col min="9729" max="9729" width="18.5703125" style="86" customWidth="1"/>
    <col min="9730" max="9730" width="14.7109375" style="86" bestFit="1" customWidth="1"/>
    <col min="9731" max="9731" width="13.42578125" style="86" bestFit="1" customWidth="1"/>
    <col min="9732" max="9732" width="13.42578125" style="86" customWidth="1"/>
    <col min="9733" max="9733" width="14.140625" style="86" customWidth="1"/>
    <col min="9734" max="9736" width="16" style="86" customWidth="1"/>
    <col min="9737" max="9737" width="16.85546875" style="86" customWidth="1"/>
    <col min="9738" max="9738" width="13.28515625" style="86" bestFit="1" customWidth="1"/>
    <col min="9739" max="9984" width="9.140625" style="86"/>
    <col min="9985" max="9985" width="18.5703125" style="86" customWidth="1"/>
    <col min="9986" max="9986" width="14.7109375" style="86" bestFit="1" customWidth="1"/>
    <col min="9987" max="9987" width="13.42578125" style="86" bestFit="1" customWidth="1"/>
    <col min="9988" max="9988" width="13.42578125" style="86" customWidth="1"/>
    <col min="9989" max="9989" width="14.140625" style="86" customWidth="1"/>
    <col min="9990" max="9992" width="16" style="86" customWidth="1"/>
    <col min="9993" max="9993" width="16.85546875" style="86" customWidth="1"/>
    <col min="9994" max="9994" width="13.28515625" style="86" bestFit="1" customWidth="1"/>
    <col min="9995" max="10240" width="9.140625" style="86"/>
    <col min="10241" max="10241" width="18.5703125" style="86" customWidth="1"/>
    <col min="10242" max="10242" width="14.7109375" style="86" bestFit="1" customWidth="1"/>
    <col min="10243" max="10243" width="13.42578125" style="86" bestFit="1" customWidth="1"/>
    <col min="10244" max="10244" width="13.42578125" style="86" customWidth="1"/>
    <col min="10245" max="10245" width="14.140625" style="86" customWidth="1"/>
    <col min="10246" max="10248" width="16" style="86" customWidth="1"/>
    <col min="10249" max="10249" width="16.85546875" style="86" customWidth="1"/>
    <col min="10250" max="10250" width="13.28515625" style="86" bestFit="1" customWidth="1"/>
    <col min="10251" max="10496" width="9.140625" style="86"/>
    <col min="10497" max="10497" width="18.5703125" style="86" customWidth="1"/>
    <col min="10498" max="10498" width="14.7109375" style="86" bestFit="1" customWidth="1"/>
    <col min="10499" max="10499" width="13.42578125" style="86" bestFit="1" customWidth="1"/>
    <col min="10500" max="10500" width="13.42578125" style="86" customWidth="1"/>
    <col min="10501" max="10501" width="14.140625" style="86" customWidth="1"/>
    <col min="10502" max="10504" width="16" style="86" customWidth="1"/>
    <col min="10505" max="10505" width="16.85546875" style="86" customWidth="1"/>
    <col min="10506" max="10506" width="13.28515625" style="86" bestFit="1" customWidth="1"/>
    <col min="10507" max="10752" width="9.140625" style="86"/>
    <col min="10753" max="10753" width="18.5703125" style="86" customWidth="1"/>
    <col min="10754" max="10754" width="14.7109375" style="86" bestFit="1" customWidth="1"/>
    <col min="10755" max="10755" width="13.42578125" style="86" bestFit="1" customWidth="1"/>
    <col min="10756" max="10756" width="13.42578125" style="86" customWidth="1"/>
    <col min="10757" max="10757" width="14.140625" style="86" customWidth="1"/>
    <col min="10758" max="10760" width="16" style="86" customWidth="1"/>
    <col min="10761" max="10761" width="16.85546875" style="86" customWidth="1"/>
    <col min="10762" max="10762" width="13.28515625" style="86" bestFit="1" customWidth="1"/>
    <col min="10763" max="11008" width="9.140625" style="86"/>
    <col min="11009" max="11009" width="18.5703125" style="86" customWidth="1"/>
    <col min="11010" max="11010" width="14.7109375" style="86" bestFit="1" customWidth="1"/>
    <col min="11011" max="11011" width="13.42578125" style="86" bestFit="1" customWidth="1"/>
    <col min="11012" max="11012" width="13.42578125" style="86" customWidth="1"/>
    <col min="11013" max="11013" width="14.140625" style="86" customWidth="1"/>
    <col min="11014" max="11016" width="16" style="86" customWidth="1"/>
    <col min="11017" max="11017" width="16.85546875" style="86" customWidth="1"/>
    <col min="11018" max="11018" width="13.28515625" style="86" bestFit="1" customWidth="1"/>
    <col min="11019" max="11264" width="9.140625" style="86"/>
    <col min="11265" max="11265" width="18.5703125" style="86" customWidth="1"/>
    <col min="11266" max="11266" width="14.7109375" style="86" bestFit="1" customWidth="1"/>
    <col min="11267" max="11267" width="13.42578125" style="86" bestFit="1" customWidth="1"/>
    <col min="11268" max="11268" width="13.42578125" style="86" customWidth="1"/>
    <col min="11269" max="11269" width="14.140625" style="86" customWidth="1"/>
    <col min="11270" max="11272" width="16" style="86" customWidth="1"/>
    <col min="11273" max="11273" width="16.85546875" style="86" customWidth="1"/>
    <col min="11274" max="11274" width="13.28515625" style="86" bestFit="1" customWidth="1"/>
    <col min="11275" max="11520" width="9.140625" style="86"/>
    <col min="11521" max="11521" width="18.5703125" style="86" customWidth="1"/>
    <col min="11522" max="11522" width="14.7109375" style="86" bestFit="1" customWidth="1"/>
    <col min="11523" max="11523" width="13.42578125" style="86" bestFit="1" customWidth="1"/>
    <col min="11524" max="11524" width="13.42578125" style="86" customWidth="1"/>
    <col min="11525" max="11525" width="14.140625" style="86" customWidth="1"/>
    <col min="11526" max="11528" width="16" style="86" customWidth="1"/>
    <col min="11529" max="11529" width="16.85546875" style="86" customWidth="1"/>
    <col min="11530" max="11530" width="13.28515625" style="86" bestFit="1" customWidth="1"/>
    <col min="11531" max="11776" width="9.140625" style="86"/>
    <col min="11777" max="11777" width="18.5703125" style="86" customWidth="1"/>
    <col min="11778" max="11778" width="14.7109375" style="86" bestFit="1" customWidth="1"/>
    <col min="11779" max="11779" width="13.42578125" style="86" bestFit="1" customWidth="1"/>
    <col min="11780" max="11780" width="13.42578125" style="86" customWidth="1"/>
    <col min="11781" max="11781" width="14.140625" style="86" customWidth="1"/>
    <col min="11782" max="11784" width="16" style="86" customWidth="1"/>
    <col min="11785" max="11785" width="16.85546875" style="86" customWidth="1"/>
    <col min="11786" max="11786" width="13.28515625" style="86" bestFit="1" customWidth="1"/>
    <col min="11787" max="12032" width="9.140625" style="86"/>
    <col min="12033" max="12033" width="18.5703125" style="86" customWidth="1"/>
    <col min="12034" max="12034" width="14.7109375" style="86" bestFit="1" customWidth="1"/>
    <col min="12035" max="12035" width="13.42578125" style="86" bestFit="1" customWidth="1"/>
    <col min="12036" max="12036" width="13.42578125" style="86" customWidth="1"/>
    <col min="12037" max="12037" width="14.140625" style="86" customWidth="1"/>
    <col min="12038" max="12040" width="16" style="86" customWidth="1"/>
    <col min="12041" max="12041" width="16.85546875" style="86" customWidth="1"/>
    <col min="12042" max="12042" width="13.28515625" style="86" bestFit="1" customWidth="1"/>
    <col min="12043" max="12288" width="9.140625" style="86"/>
    <col min="12289" max="12289" width="18.5703125" style="86" customWidth="1"/>
    <col min="12290" max="12290" width="14.7109375" style="86" bestFit="1" customWidth="1"/>
    <col min="12291" max="12291" width="13.42578125" style="86" bestFit="1" customWidth="1"/>
    <col min="12292" max="12292" width="13.42578125" style="86" customWidth="1"/>
    <col min="12293" max="12293" width="14.140625" style="86" customWidth="1"/>
    <col min="12294" max="12296" width="16" style="86" customWidth="1"/>
    <col min="12297" max="12297" width="16.85546875" style="86" customWidth="1"/>
    <col min="12298" max="12298" width="13.28515625" style="86" bestFit="1" customWidth="1"/>
    <col min="12299" max="12544" width="9.140625" style="86"/>
    <col min="12545" max="12545" width="18.5703125" style="86" customWidth="1"/>
    <col min="12546" max="12546" width="14.7109375" style="86" bestFit="1" customWidth="1"/>
    <col min="12547" max="12547" width="13.42578125" style="86" bestFit="1" customWidth="1"/>
    <col min="12548" max="12548" width="13.42578125" style="86" customWidth="1"/>
    <col min="12549" max="12549" width="14.140625" style="86" customWidth="1"/>
    <col min="12550" max="12552" width="16" style="86" customWidth="1"/>
    <col min="12553" max="12553" width="16.85546875" style="86" customWidth="1"/>
    <col min="12554" max="12554" width="13.28515625" style="86" bestFit="1" customWidth="1"/>
    <col min="12555" max="12800" width="9.140625" style="86"/>
    <col min="12801" max="12801" width="18.5703125" style="86" customWidth="1"/>
    <col min="12802" max="12802" width="14.7109375" style="86" bestFit="1" customWidth="1"/>
    <col min="12803" max="12803" width="13.42578125" style="86" bestFit="1" customWidth="1"/>
    <col min="12804" max="12804" width="13.42578125" style="86" customWidth="1"/>
    <col min="12805" max="12805" width="14.140625" style="86" customWidth="1"/>
    <col min="12806" max="12808" width="16" style="86" customWidth="1"/>
    <col min="12809" max="12809" width="16.85546875" style="86" customWidth="1"/>
    <col min="12810" max="12810" width="13.28515625" style="86" bestFit="1" customWidth="1"/>
    <col min="12811" max="13056" width="9.140625" style="86"/>
    <col min="13057" max="13057" width="18.5703125" style="86" customWidth="1"/>
    <col min="13058" max="13058" width="14.7109375" style="86" bestFit="1" customWidth="1"/>
    <col min="13059" max="13059" width="13.42578125" style="86" bestFit="1" customWidth="1"/>
    <col min="13060" max="13060" width="13.42578125" style="86" customWidth="1"/>
    <col min="13061" max="13061" width="14.140625" style="86" customWidth="1"/>
    <col min="13062" max="13064" width="16" style="86" customWidth="1"/>
    <col min="13065" max="13065" width="16.85546875" style="86" customWidth="1"/>
    <col min="13066" max="13066" width="13.28515625" style="86" bestFit="1" customWidth="1"/>
    <col min="13067" max="13312" width="9.140625" style="86"/>
    <col min="13313" max="13313" width="18.5703125" style="86" customWidth="1"/>
    <col min="13314" max="13314" width="14.7109375" style="86" bestFit="1" customWidth="1"/>
    <col min="13315" max="13315" width="13.42578125" style="86" bestFit="1" customWidth="1"/>
    <col min="13316" max="13316" width="13.42578125" style="86" customWidth="1"/>
    <col min="13317" max="13317" width="14.140625" style="86" customWidth="1"/>
    <col min="13318" max="13320" width="16" style="86" customWidth="1"/>
    <col min="13321" max="13321" width="16.85546875" style="86" customWidth="1"/>
    <col min="13322" max="13322" width="13.28515625" style="86" bestFit="1" customWidth="1"/>
    <col min="13323" max="13568" width="9.140625" style="86"/>
    <col min="13569" max="13569" width="18.5703125" style="86" customWidth="1"/>
    <col min="13570" max="13570" width="14.7109375" style="86" bestFit="1" customWidth="1"/>
    <col min="13571" max="13571" width="13.42578125" style="86" bestFit="1" customWidth="1"/>
    <col min="13572" max="13572" width="13.42578125" style="86" customWidth="1"/>
    <col min="13573" max="13573" width="14.140625" style="86" customWidth="1"/>
    <col min="13574" max="13576" width="16" style="86" customWidth="1"/>
    <col min="13577" max="13577" width="16.85546875" style="86" customWidth="1"/>
    <col min="13578" max="13578" width="13.28515625" style="86" bestFit="1" customWidth="1"/>
    <col min="13579" max="13824" width="9.140625" style="86"/>
    <col min="13825" max="13825" width="18.5703125" style="86" customWidth="1"/>
    <col min="13826" max="13826" width="14.7109375" style="86" bestFit="1" customWidth="1"/>
    <col min="13827" max="13827" width="13.42578125" style="86" bestFit="1" customWidth="1"/>
    <col min="13828" max="13828" width="13.42578125" style="86" customWidth="1"/>
    <col min="13829" max="13829" width="14.140625" style="86" customWidth="1"/>
    <col min="13830" max="13832" width="16" style="86" customWidth="1"/>
    <col min="13833" max="13833" width="16.85546875" style="86" customWidth="1"/>
    <col min="13834" max="13834" width="13.28515625" style="86" bestFit="1" customWidth="1"/>
    <col min="13835" max="14080" width="9.140625" style="86"/>
    <col min="14081" max="14081" width="18.5703125" style="86" customWidth="1"/>
    <col min="14082" max="14082" width="14.7109375" style="86" bestFit="1" customWidth="1"/>
    <col min="14083" max="14083" width="13.42578125" style="86" bestFit="1" customWidth="1"/>
    <col min="14084" max="14084" width="13.42578125" style="86" customWidth="1"/>
    <col min="14085" max="14085" width="14.140625" style="86" customWidth="1"/>
    <col min="14086" max="14088" width="16" style="86" customWidth="1"/>
    <col min="14089" max="14089" width="16.85546875" style="86" customWidth="1"/>
    <col min="14090" max="14090" width="13.28515625" style="86" bestFit="1" customWidth="1"/>
    <col min="14091" max="14336" width="9.140625" style="86"/>
    <col min="14337" max="14337" width="18.5703125" style="86" customWidth="1"/>
    <col min="14338" max="14338" width="14.7109375" style="86" bestFit="1" customWidth="1"/>
    <col min="14339" max="14339" width="13.42578125" style="86" bestFit="1" customWidth="1"/>
    <col min="14340" max="14340" width="13.42578125" style="86" customWidth="1"/>
    <col min="14341" max="14341" width="14.140625" style="86" customWidth="1"/>
    <col min="14342" max="14344" width="16" style="86" customWidth="1"/>
    <col min="14345" max="14345" width="16.85546875" style="86" customWidth="1"/>
    <col min="14346" max="14346" width="13.28515625" style="86" bestFit="1" customWidth="1"/>
    <col min="14347" max="14592" width="9.140625" style="86"/>
    <col min="14593" max="14593" width="18.5703125" style="86" customWidth="1"/>
    <col min="14594" max="14594" width="14.7109375" style="86" bestFit="1" customWidth="1"/>
    <col min="14595" max="14595" width="13.42578125" style="86" bestFit="1" customWidth="1"/>
    <col min="14596" max="14596" width="13.42578125" style="86" customWidth="1"/>
    <col min="14597" max="14597" width="14.140625" style="86" customWidth="1"/>
    <col min="14598" max="14600" width="16" style="86" customWidth="1"/>
    <col min="14601" max="14601" width="16.85546875" style="86" customWidth="1"/>
    <col min="14602" max="14602" width="13.28515625" style="86" bestFit="1" customWidth="1"/>
    <col min="14603" max="14848" width="9.140625" style="86"/>
    <col min="14849" max="14849" width="18.5703125" style="86" customWidth="1"/>
    <col min="14850" max="14850" width="14.7109375" style="86" bestFit="1" customWidth="1"/>
    <col min="14851" max="14851" width="13.42578125" style="86" bestFit="1" customWidth="1"/>
    <col min="14852" max="14852" width="13.42578125" style="86" customWidth="1"/>
    <col min="14853" max="14853" width="14.140625" style="86" customWidth="1"/>
    <col min="14854" max="14856" width="16" style="86" customWidth="1"/>
    <col min="14857" max="14857" width="16.85546875" style="86" customWidth="1"/>
    <col min="14858" max="14858" width="13.28515625" style="86" bestFit="1" customWidth="1"/>
    <col min="14859" max="15104" width="9.140625" style="86"/>
    <col min="15105" max="15105" width="18.5703125" style="86" customWidth="1"/>
    <col min="15106" max="15106" width="14.7109375" style="86" bestFit="1" customWidth="1"/>
    <col min="15107" max="15107" width="13.42578125" style="86" bestFit="1" customWidth="1"/>
    <col min="15108" max="15108" width="13.42578125" style="86" customWidth="1"/>
    <col min="15109" max="15109" width="14.140625" style="86" customWidth="1"/>
    <col min="15110" max="15112" width="16" style="86" customWidth="1"/>
    <col min="15113" max="15113" width="16.85546875" style="86" customWidth="1"/>
    <col min="15114" max="15114" width="13.28515625" style="86" bestFit="1" customWidth="1"/>
    <col min="15115" max="15360" width="9.140625" style="86"/>
    <col min="15361" max="15361" width="18.5703125" style="86" customWidth="1"/>
    <col min="15362" max="15362" width="14.7109375" style="86" bestFit="1" customWidth="1"/>
    <col min="15363" max="15363" width="13.42578125" style="86" bestFit="1" customWidth="1"/>
    <col min="15364" max="15364" width="13.42578125" style="86" customWidth="1"/>
    <col min="15365" max="15365" width="14.140625" style="86" customWidth="1"/>
    <col min="15366" max="15368" width="16" style="86" customWidth="1"/>
    <col min="15369" max="15369" width="16.85546875" style="86" customWidth="1"/>
    <col min="15370" max="15370" width="13.28515625" style="86" bestFit="1" customWidth="1"/>
    <col min="15371" max="15616" width="9.140625" style="86"/>
    <col min="15617" max="15617" width="18.5703125" style="86" customWidth="1"/>
    <col min="15618" max="15618" width="14.7109375" style="86" bestFit="1" customWidth="1"/>
    <col min="15619" max="15619" width="13.42578125" style="86" bestFit="1" customWidth="1"/>
    <col min="15620" max="15620" width="13.42578125" style="86" customWidth="1"/>
    <col min="15621" max="15621" width="14.140625" style="86" customWidth="1"/>
    <col min="15622" max="15624" width="16" style="86" customWidth="1"/>
    <col min="15625" max="15625" width="16.85546875" style="86" customWidth="1"/>
    <col min="15626" max="15626" width="13.28515625" style="86" bestFit="1" customWidth="1"/>
    <col min="15627" max="15872" width="9.140625" style="86"/>
    <col min="15873" max="15873" width="18.5703125" style="86" customWidth="1"/>
    <col min="15874" max="15874" width="14.7109375" style="86" bestFit="1" customWidth="1"/>
    <col min="15875" max="15875" width="13.42578125" style="86" bestFit="1" customWidth="1"/>
    <col min="15876" max="15876" width="13.42578125" style="86" customWidth="1"/>
    <col min="15877" max="15877" width="14.140625" style="86" customWidth="1"/>
    <col min="15878" max="15880" width="16" style="86" customWidth="1"/>
    <col min="15881" max="15881" width="16.85546875" style="86" customWidth="1"/>
    <col min="15882" max="15882" width="13.28515625" style="86" bestFit="1" customWidth="1"/>
    <col min="15883" max="16128" width="9.140625" style="86"/>
    <col min="16129" max="16129" width="18.5703125" style="86" customWidth="1"/>
    <col min="16130" max="16130" width="14.7109375" style="86" bestFit="1" customWidth="1"/>
    <col min="16131" max="16131" width="13.42578125" style="86" bestFit="1" customWidth="1"/>
    <col min="16132" max="16132" width="13.42578125" style="86" customWidth="1"/>
    <col min="16133" max="16133" width="14.140625" style="86" customWidth="1"/>
    <col min="16134" max="16136" width="16" style="86" customWidth="1"/>
    <col min="16137" max="16137" width="16.85546875" style="86" customWidth="1"/>
    <col min="16138" max="16138" width="13.28515625" style="86" bestFit="1" customWidth="1"/>
    <col min="16139" max="16384" width="9.140625" style="86"/>
  </cols>
  <sheetData>
    <row r="1" spans="1:18">
      <c r="A1" s="341" t="s">
        <v>135</v>
      </c>
      <c r="B1" s="341"/>
      <c r="C1" s="341"/>
      <c r="D1" s="341"/>
      <c r="E1" s="341"/>
      <c r="F1" s="341"/>
      <c r="G1" s="341"/>
      <c r="H1" s="341"/>
      <c r="I1" s="341"/>
      <c r="J1" s="70"/>
      <c r="K1" s="70"/>
      <c r="L1" s="70"/>
    </row>
    <row r="3" spans="1:18" ht="15" customHeight="1">
      <c r="A3" s="342" t="s">
        <v>136</v>
      </c>
      <c r="B3" s="342"/>
      <c r="C3" s="70"/>
    </row>
    <row r="4" spans="1:18" s="87" customFormat="1">
      <c r="A4" s="71"/>
      <c r="B4" s="72"/>
      <c r="C4" s="72"/>
      <c r="D4" s="72"/>
      <c r="E4" s="90" t="s">
        <v>151</v>
      </c>
    </row>
    <row r="5" spans="1:18" ht="14.25" customHeight="1">
      <c r="A5" s="70" t="s">
        <v>153</v>
      </c>
      <c r="B5" s="70"/>
      <c r="C5" s="70"/>
      <c r="D5" s="70"/>
      <c r="E5" s="90" t="s">
        <v>152</v>
      </c>
      <c r="F5" s="88"/>
      <c r="G5" s="88"/>
      <c r="H5" s="88"/>
      <c r="I5" s="88"/>
    </row>
    <row r="6" spans="1:18" ht="14.25" customHeight="1" thickBot="1">
      <c r="A6" s="70"/>
      <c r="B6" s="70"/>
      <c r="C6" s="70"/>
      <c r="D6" s="70"/>
      <c r="E6" s="70"/>
      <c r="F6" s="88"/>
      <c r="G6" s="88"/>
      <c r="H6" s="88"/>
      <c r="I6" s="88"/>
    </row>
    <row r="7" spans="1:18" ht="14.25" customHeight="1">
      <c r="A7" s="70"/>
      <c r="B7" s="346" t="s">
        <v>125</v>
      </c>
      <c r="C7" s="348" t="s">
        <v>137</v>
      </c>
      <c r="D7" s="348"/>
      <c r="E7" s="348"/>
      <c r="F7" s="348"/>
      <c r="G7" s="348"/>
      <c r="H7" s="348"/>
      <c r="I7" s="349" t="s">
        <v>38</v>
      </c>
      <c r="K7" s="96" t="s">
        <v>157</v>
      </c>
      <c r="L7" s="353" t="s">
        <v>137</v>
      </c>
      <c r="M7" s="353"/>
      <c r="N7" s="353"/>
      <c r="O7" s="353"/>
      <c r="P7" s="353"/>
      <c r="Q7" s="353"/>
      <c r="R7" s="354" t="s">
        <v>38</v>
      </c>
    </row>
    <row r="8" spans="1:18" ht="14.25" customHeight="1">
      <c r="A8" s="70"/>
      <c r="B8" s="347"/>
      <c r="C8" s="351" t="s">
        <v>138</v>
      </c>
      <c r="D8" s="351" t="s">
        <v>139</v>
      </c>
      <c r="E8" s="352" t="s">
        <v>140</v>
      </c>
      <c r="F8" s="352"/>
      <c r="G8" s="351" t="s">
        <v>141</v>
      </c>
      <c r="H8" s="351" t="s">
        <v>142</v>
      </c>
      <c r="I8" s="350"/>
      <c r="K8" s="97">
        <v>39995</v>
      </c>
      <c r="L8" s="356" t="s">
        <v>138</v>
      </c>
      <c r="M8" s="356" t="s">
        <v>139</v>
      </c>
      <c r="N8" s="357" t="s">
        <v>140</v>
      </c>
      <c r="O8" s="357"/>
      <c r="P8" s="356" t="s">
        <v>141</v>
      </c>
      <c r="Q8" s="356" t="s">
        <v>142</v>
      </c>
      <c r="R8" s="355"/>
    </row>
    <row r="9" spans="1:18" ht="14.25" customHeight="1">
      <c r="A9" s="70"/>
      <c r="B9" s="347"/>
      <c r="C9" s="351"/>
      <c r="D9" s="351"/>
      <c r="E9" s="92" t="s">
        <v>143</v>
      </c>
      <c r="F9" s="92" t="s">
        <v>144</v>
      </c>
      <c r="G9" s="351"/>
      <c r="H9" s="351"/>
      <c r="I9" s="350"/>
      <c r="K9" s="97">
        <v>40148</v>
      </c>
      <c r="L9" s="356"/>
      <c r="M9" s="356"/>
      <c r="N9" s="95" t="s">
        <v>143</v>
      </c>
      <c r="O9" s="95" t="s">
        <v>144</v>
      </c>
      <c r="P9" s="356"/>
      <c r="Q9" s="356"/>
      <c r="R9" s="355"/>
    </row>
    <row r="10" spans="1:18" ht="14.25" customHeight="1">
      <c r="A10" s="70"/>
      <c r="B10" s="74" t="s">
        <v>145</v>
      </c>
      <c r="C10" s="75">
        <f>SUM(C20,C30,C40,C50,C60,C70,C80,C90,C100,C110,C120,C130)</f>
        <v>120000000</v>
      </c>
      <c r="D10" s="75">
        <f t="shared" ref="D10:H10" si="0">SUM(D20,D30,D40,D50,D60,D70,D80,D90,D100,D110,D120,D130)</f>
        <v>60000000</v>
      </c>
      <c r="E10" s="75">
        <f t="shared" si="0"/>
        <v>360000000</v>
      </c>
      <c r="F10" s="75">
        <f t="shared" si="0"/>
        <v>360000000</v>
      </c>
      <c r="G10" s="75">
        <f t="shared" si="0"/>
        <v>48000000000</v>
      </c>
      <c r="H10" s="75">
        <f t="shared" si="0"/>
        <v>1920000000</v>
      </c>
      <c r="I10" s="76">
        <f>SUM(C10:H10)</f>
        <v>50820000000</v>
      </c>
      <c r="K10" s="74" t="s">
        <v>145</v>
      </c>
      <c r="L10" s="75">
        <f>SUM(C80,C90,C100,C110,C120,C130)</f>
        <v>60000000</v>
      </c>
      <c r="M10" s="75">
        <f t="shared" ref="M10:Q10" si="1">SUM(D80,D90,D100,D110,D120,D130)</f>
        <v>30000000</v>
      </c>
      <c r="N10" s="75">
        <f t="shared" si="1"/>
        <v>180000000</v>
      </c>
      <c r="O10" s="75">
        <f t="shared" si="1"/>
        <v>180000000</v>
      </c>
      <c r="P10" s="75">
        <f t="shared" si="1"/>
        <v>24000000000</v>
      </c>
      <c r="Q10" s="75">
        <f t="shared" si="1"/>
        <v>960000000</v>
      </c>
      <c r="R10" s="76">
        <f>SUM(L10:Q10)</f>
        <v>25410000000</v>
      </c>
    </row>
    <row r="11" spans="1:18" ht="14.25" customHeight="1">
      <c r="A11" s="70"/>
      <c r="B11" s="74" t="s">
        <v>146</v>
      </c>
      <c r="C11" s="77"/>
      <c r="D11" s="77"/>
      <c r="E11" s="77"/>
      <c r="F11" s="77"/>
      <c r="G11" s="78"/>
      <c r="H11" s="78"/>
      <c r="I11" s="79" t="s">
        <v>147</v>
      </c>
      <c r="K11" s="74" t="s">
        <v>146</v>
      </c>
      <c r="L11" s="77"/>
      <c r="M11" s="77"/>
      <c r="N11" s="77"/>
      <c r="O11" s="77"/>
      <c r="P11" s="78"/>
      <c r="Q11" s="78"/>
      <c r="R11" s="79" t="s">
        <v>147</v>
      </c>
    </row>
    <row r="12" spans="1:18" ht="14.25" customHeight="1">
      <c r="A12" s="70"/>
      <c r="B12" s="74" t="s">
        <v>148</v>
      </c>
      <c r="C12" s="77"/>
      <c r="D12" s="77"/>
      <c r="E12" s="77"/>
      <c r="F12" s="77"/>
      <c r="G12" s="78"/>
      <c r="H12" s="78"/>
      <c r="I12" s="79" t="s">
        <v>147</v>
      </c>
      <c r="K12" s="74" t="s">
        <v>148</v>
      </c>
      <c r="L12" s="77"/>
      <c r="M12" s="77"/>
      <c r="N12" s="77"/>
      <c r="O12" s="77"/>
      <c r="P12" s="78"/>
      <c r="Q12" s="78"/>
      <c r="R12" s="79" t="s">
        <v>147</v>
      </c>
    </row>
    <row r="13" spans="1:18" ht="14.25" customHeight="1">
      <c r="A13" s="70"/>
      <c r="B13" s="74" t="s">
        <v>149</v>
      </c>
      <c r="C13" s="75">
        <f t="shared" ref="C13:H13" si="2">SUM(C23,C33,C43,C53,C63,C73,C83,C93,C103,C113,C123,C133)</f>
        <v>300000000</v>
      </c>
      <c r="D13" s="75">
        <f t="shared" si="2"/>
        <v>300000000</v>
      </c>
      <c r="E13" s="75">
        <f t="shared" si="2"/>
        <v>300000000</v>
      </c>
      <c r="F13" s="75">
        <f t="shared" si="2"/>
        <v>300000000</v>
      </c>
      <c r="G13" s="75">
        <f t="shared" si="2"/>
        <v>60000000000</v>
      </c>
      <c r="H13" s="75">
        <f t="shared" si="2"/>
        <v>2400000000</v>
      </c>
      <c r="I13" s="76">
        <f>SUM(C13:H13)</f>
        <v>63600000000</v>
      </c>
      <c r="K13" s="74" t="s">
        <v>149</v>
      </c>
      <c r="L13" s="75">
        <f t="shared" ref="L13:L14" si="3">SUM(C83,C93,C103,C113,C123,C133)</f>
        <v>150000000</v>
      </c>
      <c r="M13" s="75">
        <f t="shared" ref="M13:M14" si="4">SUM(D83,D93,D103,D113,D123,D133)</f>
        <v>150000000</v>
      </c>
      <c r="N13" s="75">
        <f t="shared" ref="N13:N14" si="5">SUM(E83,E93,E103,E113,E123,E133)</f>
        <v>150000000</v>
      </c>
      <c r="O13" s="75">
        <f t="shared" ref="O13:O14" si="6">SUM(F83,F93,F103,F113,F123,F133)</f>
        <v>150000000</v>
      </c>
      <c r="P13" s="75">
        <f t="shared" ref="P13:P14" si="7">SUM(G83,G93,G103,G113,G123,G133)</f>
        <v>30000000000</v>
      </c>
      <c r="Q13" s="75">
        <f t="shared" ref="Q13:Q14" si="8">SUM(H83,H93,H103,H113,H123,H133)</f>
        <v>1200000000</v>
      </c>
      <c r="R13" s="76">
        <f>SUM(L13:Q13)</f>
        <v>31800000000</v>
      </c>
    </row>
    <row r="14" spans="1:18" ht="14.25" customHeight="1">
      <c r="A14" s="70"/>
      <c r="B14" s="74" t="s">
        <v>150</v>
      </c>
      <c r="C14" s="75">
        <f t="shared" ref="C14:H14" si="9">SUM(C24,C34,C44,C54,C64,C74,C84,C94,C104,C114,C124,C134)</f>
        <v>18000000</v>
      </c>
      <c r="D14" s="75">
        <f t="shared" si="9"/>
        <v>6000000</v>
      </c>
      <c r="E14" s="75">
        <f t="shared" si="9"/>
        <v>24000000</v>
      </c>
      <c r="F14" s="75">
        <f t="shared" si="9"/>
        <v>48000000</v>
      </c>
      <c r="G14" s="75">
        <f t="shared" si="9"/>
        <v>12000000000</v>
      </c>
      <c r="H14" s="75">
        <f t="shared" si="9"/>
        <v>480000000</v>
      </c>
      <c r="I14" s="76">
        <f>SUM(C14:H14)</f>
        <v>12576000000</v>
      </c>
      <c r="K14" s="74" t="s">
        <v>150</v>
      </c>
      <c r="L14" s="75">
        <f t="shared" si="3"/>
        <v>9000000</v>
      </c>
      <c r="M14" s="75">
        <f t="shared" si="4"/>
        <v>3000000</v>
      </c>
      <c r="N14" s="75">
        <f t="shared" si="5"/>
        <v>12000000</v>
      </c>
      <c r="O14" s="75">
        <f t="shared" si="6"/>
        <v>24000000</v>
      </c>
      <c r="P14" s="75">
        <f t="shared" si="7"/>
        <v>6000000000</v>
      </c>
      <c r="Q14" s="75">
        <f t="shared" si="8"/>
        <v>240000000</v>
      </c>
      <c r="R14" s="76">
        <f>SUM(L14:Q14)</f>
        <v>6288000000</v>
      </c>
    </row>
    <row r="15" spans="1:18" ht="14.25" customHeight="1" thickBot="1">
      <c r="A15" s="70"/>
      <c r="B15" s="80" t="s">
        <v>38</v>
      </c>
      <c r="C15" s="81">
        <f>SUM(C10:C14)</f>
        <v>438000000</v>
      </c>
      <c r="D15" s="81">
        <f t="shared" ref="D15" si="10">SUM(D10:D14)</f>
        <v>366000000</v>
      </c>
      <c r="E15" s="81">
        <f t="shared" ref="E15" si="11">SUM(E10:E14)</f>
        <v>684000000</v>
      </c>
      <c r="F15" s="81">
        <f t="shared" ref="F15" si="12">SUM(F10:F14)</f>
        <v>708000000</v>
      </c>
      <c r="G15" s="81">
        <f t="shared" ref="G15" si="13">SUM(G10:G14)</f>
        <v>120000000000</v>
      </c>
      <c r="H15" s="81">
        <f t="shared" ref="H15:I15" si="14">SUM(H10:H14)</f>
        <v>4800000000</v>
      </c>
      <c r="I15" s="91">
        <f t="shared" si="14"/>
        <v>126996000000</v>
      </c>
      <c r="K15" s="80" t="s">
        <v>38</v>
      </c>
      <c r="L15" s="81">
        <f>SUM(L10:L14)</f>
        <v>219000000</v>
      </c>
      <c r="M15" s="81">
        <f t="shared" ref="M15:R15" si="15">SUM(M10:M14)</f>
        <v>183000000</v>
      </c>
      <c r="N15" s="81">
        <f t="shared" si="15"/>
        <v>342000000</v>
      </c>
      <c r="O15" s="81">
        <f t="shared" si="15"/>
        <v>354000000</v>
      </c>
      <c r="P15" s="81">
        <f t="shared" si="15"/>
        <v>60000000000</v>
      </c>
      <c r="Q15" s="81">
        <f t="shared" si="15"/>
        <v>2400000000</v>
      </c>
      <c r="R15" s="91">
        <f t="shared" si="15"/>
        <v>63498000000</v>
      </c>
    </row>
    <row r="16" spans="1:18" ht="14.25" customHeight="1" thickBot="1">
      <c r="A16" s="70"/>
      <c r="B16" s="70"/>
      <c r="C16" s="70"/>
      <c r="D16" s="70"/>
      <c r="E16" s="70"/>
      <c r="F16" s="88"/>
      <c r="G16" s="88"/>
      <c r="H16" s="88"/>
      <c r="I16" s="88"/>
    </row>
    <row r="17" spans="2:24">
      <c r="B17" s="333">
        <v>39814</v>
      </c>
      <c r="C17" s="335" t="s">
        <v>137</v>
      </c>
      <c r="D17" s="335"/>
      <c r="E17" s="335"/>
      <c r="F17" s="335"/>
      <c r="G17" s="335"/>
      <c r="H17" s="335"/>
      <c r="I17" s="343" t="s">
        <v>38</v>
      </c>
      <c r="L17" s="94"/>
      <c r="M17" s="98"/>
    </row>
    <row r="18" spans="2:24" ht="12.75" customHeight="1" thickBot="1">
      <c r="B18" s="334"/>
      <c r="C18" s="340" t="s">
        <v>138</v>
      </c>
      <c r="D18" s="340" t="s">
        <v>139</v>
      </c>
      <c r="E18" s="345" t="s">
        <v>140</v>
      </c>
      <c r="F18" s="345"/>
      <c r="G18" s="340" t="s">
        <v>141</v>
      </c>
      <c r="H18" s="340" t="s">
        <v>142</v>
      </c>
      <c r="I18" s="344"/>
      <c r="K18" s="94"/>
      <c r="L18" s="94"/>
      <c r="M18" s="98"/>
    </row>
    <row r="19" spans="2:24">
      <c r="B19" s="334"/>
      <c r="C19" s="340"/>
      <c r="D19" s="340"/>
      <c r="E19" s="73" t="s">
        <v>143</v>
      </c>
      <c r="F19" s="73" t="s">
        <v>144</v>
      </c>
      <c r="G19" s="340"/>
      <c r="H19" s="340"/>
      <c r="I19" s="344"/>
      <c r="K19" s="101" t="s">
        <v>159</v>
      </c>
      <c r="L19" s="99">
        <v>39814</v>
      </c>
      <c r="M19" s="99">
        <v>39845</v>
      </c>
      <c r="N19" s="99">
        <v>39873</v>
      </c>
      <c r="O19" s="99">
        <v>39904</v>
      </c>
      <c r="P19" s="99">
        <v>39934</v>
      </c>
      <c r="Q19" s="99">
        <v>39965</v>
      </c>
      <c r="R19" s="99">
        <v>39995</v>
      </c>
      <c r="S19" s="99">
        <v>40026</v>
      </c>
      <c r="T19" s="99">
        <v>40057</v>
      </c>
      <c r="U19" s="99">
        <v>40087</v>
      </c>
      <c r="V19" s="99">
        <v>40118</v>
      </c>
      <c r="W19" s="99">
        <v>40148</v>
      </c>
      <c r="X19" s="100" t="s">
        <v>125</v>
      </c>
    </row>
    <row r="20" spans="2:24">
      <c r="B20" s="74" t="s">
        <v>145</v>
      </c>
      <c r="C20" s="383">
        <v>10000000</v>
      </c>
      <c r="D20" s="383">
        <v>5000000</v>
      </c>
      <c r="E20" s="383">
        <v>30000000</v>
      </c>
      <c r="F20" s="383">
        <v>30000000</v>
      </c>
      <c r="G20" s="383">
        <v>4000000000</v>
      </c>
      <c r="H20" s="383">
        <v>160000000</v>
      </c>
      <c r="I20" s="76">
        <f>SUM(C20:H20)</f>
        <v>4235000000</v>
      </c>
      <c r="K20" s="103" t="s">
        <v>145</v>
      </c>
      <c r="L20" s="104">
        <f>SUM(C20:F20)</f>
        <v>75000000</v>
      </c>
      <c r="M20" s="104">
        <f>SUM(C30:F30)</f>
        <v>75000000</v>
      </c>
      <c r="N20" s="104">
        <f>SUM(C40:F40)</f>
        <v>75000000</v>
      </c>
      <c r="O20" s="104">
        <f>SUM(C50:F50)</f>
        <v>75000000</v>
      </c>
      <c r="P20" s="104">
        <f>SUM(C60:F60)</f>
        <v>75000000</v>
      </c>
      <c r="Q20" s="104">
        <f>SUM(C70:F70)</f>
        <v>75000000</v>
      </c>
      <c r="R20" s="104">
        <f>SUM(C80:F80)</f>
        <v>75000000</v>
      </c>
      <c r="S20" s="104">
        <f>SUM(C90:F90)</f>
        <v>75000000</v>
      </c>
      <c r="T20" s="104">
        <f>SUM(C100:F100)</f>
        <v>75000000</v>
      </c>
      <c r="U20" s="104">
        <f>SUM(C110:F110)</f>
        <v>75000000</v>
      </c>
      <c r="V20" s="104">
        <f>SUM(C120:F120)</f>
        <v>75000000</v>
      </c>
      <c r="W20" s="104">
        <f>SUM(C130:F130)</f>
        <v>75000000</v>
      </c>
      <c r="X20" s="105">
        <f>SUM(L20:W20)</f>
        <v>900000000</v>
      </c>
    </row>
    <row r="21" spans="2:24">
      <c r="B21" s="74" t="s">
        <v>146</v>
      </c>
      <c r="C21" s="384"/>
      <c r="D21" s="384"/>
      <c r="E21" s="384"/>
      <c r="F21" s="384"/>
      <c r="G21" s="385"/>
      <c r="H21" s="385"/>
      <c r="I21" s="79"/>
      <c r="K21" s="103" t="s">
        <v>158</v>
      </c>
      <c r="L21" s="104">
        <f>SUM(C23:F23)</f>
        <v>100000000</v>
      </c>
      <c r="M21" s="104">
        <f>SUM(C33:F33)</f>
        <v>100000000</v>
      </c>
      <c r="N21" s="104">
        <f>SUM(C43:F43)</f>
        <v>100000000</v>
      </c>
      <c r="O21" s="104">
        <f>SUM(C53:F53)</f>
        <v>100000000</v>
      </c>
      <c r="P21" s="104">
        <f>SUM(C63:F63)</f>
        <v>100000000</v>
      </c>
      <c r="Q21" s="104">
        <f>SUM(C73:F73)</f>
        <v>100000000</v>
      </c>
      <c r="R21" s="104">
        <f>SUM(C83:F83)</f>
        <v>100000000</v>
      </c>
      <c r="S21" s="104">
        <f>SUM(C93:F93)</f>
        <v>100000000</v>
      </c>
      <c r="T21" s="104">
        <f>SUM(C103:F103)</f>
        <v>100000000</v>
      </c>
      <c r="U21" s="104">
        <f>SUM(C113:F113)</f>
        <v>100000000</v>
      </c>
      <c r="V21" s="104">
        <f>SUM(C123:F123)</f>
        <v>100000000</v>
      </c>
      <c r="W21" s="104">
        <f>SUM(C133:F133)</f>
        <v>100000000</v>
      </c>
      <c r="X21" s="105">
        <f>SUM(L21:W21)</f>
        <v>1200000000</v>
      </c>
    </row>
    <row r="22" spans="2:24">
      <c r="B22" s="74" t="s">
        <v>148</v>
      </c>
      <c r="C22" s="384"/>
      <c r="D22" s="384"/>
      <c r="E22" s="384"/>
      <c r="F22" s="384"/>
      <c r="G22" s="385"/>
      <c r="H22" s="385"/>
      <c r="I22" s="79"/>
      <c r="K22" s="103" t="s">
        <v>150</v>
      </c>
      <c r="L22" s="104">
        <f>SUM(C24:F24)</f>
        <v>8000000</v>
      </c>
      <c r="M22" s="104">
        <f>SUM(C34:F34)</f>
        <v>8000000</v>
      </c>
      <c r="N22" s="104">
        <f>SUM(C44:F44)</f>
        <v>8000000</v>
      </c>
      <c r="O22" s="104">
        <f>SUM(C54:F54)</f>
        <v>8000000</v>
      </c>
      <c r="P22" s="104">
        <f>SUM(C64:F64)</f>
        <v>8000000</v>
      </c>
      <c r="Q22" s="104">
        <f>SUM(C74:F74)</f>
        <v>8000000</v>
      </c>
      <c r="R22" s="104">
        <f>SUM(C84:F84)</f>
        <v>8000000</v>
      </c>
      <c r="S22" s="104">
        <f>SUM(C94:F94)</f>
        <v>8000000</v>
      </c>
      <c r="T22" s="104">
        <f>SUM(C104:F104)</f>
        <v>8000000</v>
      </c>
      <c r="U22" s="104">
        <f>SUM(C114:F114)</f>
        <v>8000000</v>
      </c>
      <c r="V22" s="104">
        <f>SUM(C124:F124)</f>
        <v>8000000</v>
      </c>
      <c r="W22" s="104">
        <f>SUM(C134:F134)</f>
        <v>8000000</v>
      </c>
      <c r="X22" s="105">
        <f>SUM(L22:W22)</f>
        <v>96000000</v>
      </c>
    </row>
    <row r="23" spans="2:24" ht="13.5" thickBot="1">
      <c r="B23" s="74" t="s">
        <v>149</v>
      </c>
      <c r="C23" s="383">
        <v>25000000</v>
      </c>
      <c r="D23" s="383">
        <v>25000000</v>
      </c>
      <c r="E23" s="383">
        <v>25000000</v>
      </c>
      <c r="F23" s="383">
        <v>25000000</v>
      </c>
      <c r="G23" s="383">
        <v>5000000000</v>
      </c>
      <c r="H23" s="383">
        <v>200000000</v>
      </c>
      <c r="I23" s="76">
        <f>SUM(C23:H23)</f>
        <v>5300000000</v>
      </c>
      <c r="K23" s="102" t="s">
        <v>38</v>
      </c>
      <c r="L23" s="106">
        <f>SUM(L20:L22)</f>
        <v>183000000</v>
      </c>
      <c r="M23" s="106">
        <f t="shared" ref="M23:W23" si="16">SUM(M20:M22)</f>
        <v>183000000</v>
      </c>
      <c r="N23" s="106">
        <f t="shared" si="16"/>
        <v>183000000</v>
      </c>
      <c r="O23" s="106">
        <f t="shared" si="16"/>
        <v>183000000</v>
      </c>
      <c r="P23" s="106">
        <f t="shared" si="16"/>
        <v>183000000</v>
      </c>
      <c r="Q23" s="106">
        <f t="shared" si="16"/>
        <v>183000000</v>
      </c>
      <c r="R23" s="106">
        <f t="shared" si="16"/>
        <v>183000000</v>
      </c>
      <c r="S23" s="106">
        <f t="shared" si="16"/>
        <v>183000000</v>
      </c>
      <c r="T23" s="106">
        <f t="shared" si="16"/>
        <v>183000000</v>
      </c>
      <c r="U23" s="106">
        <f t="shared" si="16"/>
        <v>183000000</v>
      </c>
      <c r="V23" s="106">
        <f t="shared" si="16"/>
        <v>183000000</v>
      </c>
      <c r="W23" s="106">
        <f t="shared" si="16"/>
        <v>183000000</v>
      </c>
      <c r="X23" s="107">
        <f>SUM(L23:W23)</f>
        <v>2196000000</v>
      </c>
    </row>
    <row r="24" spans="2:24" ht="13.5" thickBot="1">
      <c r="B24" s="74" t="s">
        <v>150</v>
      </c>
      <c r="C24" s="383">
        <v>1500000</v>
      </c>
      <c r="D24" s="383">
        <v>500000</v>
      </c>
      <c r="E24" s="383">
        <v>2000000</v>
      </c>
      <c r="F24" s="383">
        <v>4000000</v>
      </c>
      <c r="G24" s="383">
        <v>1000000000</v>
      </c>
      <c r="H24" s="383">
        <v>40000000</v>
      </c>
      <c r="I24" s="76">
        <f>SUM(C24:H24)</f>
        <v>1048000000</v>
      </c>
    </row>
    <row r="25" spans="2:24" ht="13.5" thickBot="1">
      <c r="B25" s="80" t="s">
        <v>38</v>
      </c>
      <c r="C25" s="81">
        <f>SUM(C20:C24)</f>
        <v>36500000</v>
      </c>
      <c r="D25" s="81">
        <f t="shared" ref="D25:I25" si="17">SUM(D20:D24)</f>
        <v>30500000</v>
      </c>
      <c r="E25" s="81">
        <f t="shared" si="17"/>
        <v>57000000</v>
      </c>
      <c r="F25" s="81">
        <f t="shared" si="17"/>
        <v>59000000</v>
      </c>
      <c r="G25" s="81">
        <f t="shared" si="17"/>
        <v>10000000000</v>
      </c>
      <c r="H25" s="81">
        <f t="shared" si="17"/>
        <v>400000000</v>
      </c>
      <c r="I25" s="91">
        <f t="shared" si="17"/>
        <v>10583000000</v>
      </c>
      <c r="K25" s="101" t="s">
        <v>160</v>
      </c>
      <c r="L25" s="99">
        <v>39814</v>
      </c>
      <c r="M25" s="99">
        <v>39845</v>
      </c>
      <c r="N25" s="99">
        <v>39873</v>
      </c>
      <c r="O25" s="99">
        <v>39904</v>
      </c>
      <c r="P25" s="99">
        <v>39934</v>
      </c>
      <c r="Q25" s="99">
        <v>39965</v>
      </c>
      <c r="R25" s="99">
        <v>39995</v>
      </c>
      <c r="S25" s="99">
        <v>40026</v>
      </c>
      <c r="T25" s="99">
        <v>40057</v>
      </c>
      <c r="U25" s="99">
        <v>40087</v>
      </c>
      <c r="V25" s="99">
        <v>40118</v>
      </c>
      <c r="W25" s="99">
        <v>40148</v>
      </c>
      <c r="X25" s="100" t="s">
        <v>125</v>
      </c>
    </row>
    <row r="26" spans="2:24" ht="13.5" thickBot="1">
      <c r="B26" s="83"/>
      <c r="C26" s="84"/>
      <c r="D26" s="84"/>
      <c r="E26" s="84"/>
      <c r="F26" s="84"/>
      <c r="G26" s="84"/>
      <c r="H26" s="84"/>
      <c r="I26" s="85"/>
      <c r="K26" s="103" t="s">
        <v>145</v>
      </c>
      <c r="L26" s="104">
        <f>SUM(G20:H20)</f>
        <v>4160000000</v>
      </c>
      <c r="M26" s="104">
        <f>SUM(G30:H30)</f>
        <v>4160000000</v>
      </c>
      <c r="N26" s="104">
        <f>SUM(G40:H40)</f>
        <v>4160000000</v>
      </c>
      <c r="O26" s="104">
        <f>SUM(G50:H50)</f>
        <v>4160000000</v>
      </c>
      <c r="P26" s="104">
        <f>SUM(G60:H60)</f>
        <v>4160000000</v>
      </c>
      <c r="Q26" s="104">
        <f>SUM(G70:H70)</f>
        <v>4160000000</v>
      </c>
      <c r="R26" s="104">
        <f>SUM(G80:H80)</f>
        <v>4160000000</v>
      </c>
      <c r="S26" s="104">
        <f>SUM(G90:H90)</f>
        <v>4160000000</v>
      </c>
      <c r="T26" s="104">
        <f>SUM(G100:H100)</f>
        <v>4160000000</v>
      </c>
      <c r="U26" s="104">
        <f>SUM(G110:H110)</f>
        <v>4160000000</v>
      </c>
      <c r="V26" s="104">
        <f>SUM(G120:H120)</f>
        <v>4160000000</v>
      </c>
      <c r="W26" s="104">
        <f>SUM(G130:H130)</f>
        <v>4160000000</v>
      </c>
      <c r="X26" s="105">
        <f>SUM(L26:W26)</f>
        <v>49920000000</v>
      </c>
    </row>
    <row r="27" spans="2:24">
      <c r="B27" s="333">
        <v>39845</v>
      </c>
      <c r="C27" s="335" t="s">
        <v>137</v>
      </c>
      <c r="D27" s="335"/>
      <c r="E27" s="335"/>
      <c r="F27" s="335"/>
      <c r="G27" s="335"/>
      <c r="H27" s="335"/>
      <c r="I27" s="336" t="s">
        <v>38</v>
      </c>
      <c r="K27" s="103" t="s">
        <v>158</v>
      </c>
      <c r="L27" s="104">
        <f>SUM(G23:H23)</f>
        <v>5200000000</v>
      </c>
      <c r="M27" s="104">
        <f>SUM(G33:H33)</f>
        <v>5200000000</v>
      </c>
      <c r="N27" s="104">
        <f>SUM(G43:H43)</f>
        <v>5200000000</v>
      </c>
      <c r="O27" s="104">
        <f>SUM(G53:H53)</f>
        <v>5200000000</v>
      </c>
      <c r="P27" s="104">
        <f>SUM(G63:H63)</f>
        <v>5200000000</v>
      </c>
      <c r="Q27" s="104">
        <f>SUM(G73:H73)</f>
        <v>5200000000</v>
      </c>
      <c r="R27" s="104">
        <f>SUM(G83:H83)</f>
        <v>5200000000</v>
      </c>
      <c r="S27" s="104">
        <f>SUM(G93:H93)</f>
        <v>5200000000</v>
      </c>
      <c r="T27" s="104">
        <f>SUM(G103:H103)</f>
        <v>5200000000</v>
      </c>
      <c r="U27" s="104">
        <f>SUM(G113:H113)</f>
        <v>5200000000</v>
      </c>
      <c r="V27" s="104">
        <f>SUM(G123:H123)</f>
        <v>5200000000</v>
      </c>
      <c r="W27" s="104">
        <f>SUM(G133:H133)</f>
        <v>5200000000</v>
      </c>
      <c r="X27" s="105">
        <f>SUM(L27:W27)</f>
        <v>62400000000</v>
      </c>
    </row>
    <row r="28" spans="2:24" ht="12.75" customHeight="1">
      <c r="B28" s="334"/>
      <c r="C28" s="338" t="s">
        <v>138</v>
      </c>
      <c r="D28" s="338" t="s">
        <v>139</v>
      </c>
      <c r="E28" s="339" t="s">
        <v>140</v>
      </c>
      <c r="F28" s="339"/>
      <c r="G28" s="340" t="s">
        <v>141</v>
      </c>
      <c r="H28" s="340" t="s">
        <v>142</v>
      </c>
      <c r="I28" s="337"/>
      <c r="K28" s="103" t="s">
        <v>150</v>
      </c>
      <c r="L28" s="104">
        <f>SUM(G24:H24)</f>
        <v>1040000000</v>
      </c>
      <c r="M28" s="104">
        <f>SUM(G34:H34)</f>
        <v>1040000000</v>
      </c>
      <c r="N28" s="104">
        <f>SUM(G44:H44)</f>
        <v>1040000000</v>
      </c>
      <c r="O28" s="104">
        <f>SUM(G54:H54)</f>
        <v>1040000000</v>
      </c>
      <c r="P28" s="104">
        <f>SUM(G64:H64)</f>
        <v>1040000000</v>
      </c>
      <c r="Q28" s="104">
        <f>SUM(G74:H74)</f>
        <v>1040000000</v>
      </c>
      <c r="R28" s="104">
        <f>SUM(G84:H84)</f>
        <v>1040000000</v>
      </c>
      <c r="S28" s="104">
        <f>SUM(G94:H94)</f>
        <v>1040000000</v>
      </c>
      <c r="T28" s="104">
        <f>SUM(G104:H104)</f>
        <v>1040000000</v>
      </c>
      <c r="U28" s="104">
        <f>SUM(G114:H114)</f>
        <v>1040000000</v>
      </c>
      <c r="V28" s="104">
        <f>SUM(G124:H124)</f>
        <v>1040000000</v>
      </c>
      <c r="W28" s="104">
        <f>SUM(G134:H134)</f>
        <v>1040000000</v>
      </c>
      <c r="X28" s="105">
        <f>SUM(L28:W28)</f>
        <v>12480000000</v>
      </c>
    </row>
    <row r="29" spans="2:24" ht="13.5" thickBot="1">
      <c r="B29" s="334"/>
      <c r="C29" s="338"/>
      <c r="D29" s="338"/>
      <c r="E29" s="73" t="s">
        <v>143</v>
      </c>
      <c r="F29" s="73" t="s">
        <v>144</v>
      </c>
      <c r="G29" s="340"/>
      <c r="H29" s="340"/>
      <c r="I29" s="337"/>
      <c r="K29" s="102" t="s">
        <v>38</v>
      </c>
      <c r="L29" s="106">
        <f>SUM(L26:L28)</f>
        <v>10400000000</v>
      </c>
      <c r="M29" s="106">
        <f t="shared" ref="M29:W29" si="18">SUM(M26:M28)</f>
        <v>10400000000</v>
      </c>
      <c r="N29" s="106">
        <f t="shared" si="18"/>
        <v>10400000000</v>
      </c>
      <c r="O29" s="106">
        <f t="shared" si="18"/>
        <v>10400000000</v>
      </c>
      <c r="P29" s="106">
        <f t="shared" si="18"/>
        <v>10400000000</v>
      </c>
      <c r="Q29" s="106">
        <f t="shared" si="18"/>
        <v>10400000000</v>
      </c>
      <c r="R29" s="106">
        <f t="shared" si="18"/>
        <v>10400000000</v>
      </c>
      <c r="S29" s="106">
        <f t="shared" si="18"/>
        <v>10400000000</v>
      </c>
      <c r="T29" s="106">
        <f t="shared" si="18"/>
        <v>10400000000</v>
      </c>
      <c r="U29" s="106">
        <f t="shared" si="18"/>
        <v>10400000000</v>
      </c>
      <c r="V29" s="106">
        <f t="shared" si="18"/>
        <v>10400000000</v>
      </c>
      <c r="W29" s="106">
        <f t="shared" si="18"/>
        <v>10400000000</v>
      </c>
      <c r="X29" s="107">
        <f>SUM(L29:W29)</f>
        <v>124800000000</v>
      </c>
    </row>
    <row r="30" spans="2:24">
      <c r="B30" s="74" t="s">
        <v>145</v>
      </c>
      <c r="C30" s="383">
        <v>10000000</v>
      </c>
      <c r="D30" s="383">
        <v>5000000</v>
      </c>
      <c r="E30" s="383">
        <v>30000000</v>
      </c>
      <c r="F30" s="383">
        <v>30000000</v>
      </c>
      <c r="G30" s="383">
        <v>4000000000</v>
      </c>
      <c r="H30" s="383">
        <v>160000000</v>
      </c>
      <c r="I30" s="76">
        <v>91126267.910399988</v>
      </c>
    </row>
    <row r="31" spans="2:24">
      <c r="B31" s="74" t="s">
        <v>146</v>
      </c>
      <c r="C31" s="384"/>
      <c r="D31" s="384"/>
      <c r="E31" s="384"/>
      <c r="F31" s="384"/>
      <c r="G31" s="385"/>
      <c r="H31" s="385"/>
      <c r="I31" s="79" t="s">
        <v>147</v>
      </c>
    </row>
    <row r="32" spans="2:24">
      <c r="B32" s="74" t="s">
        <v>148</v>
      </c>
      <c r="C32" s="384"/>
      <c r="D32" s="384"/>
      <c r="E32" s="384"/>
      <c r="F32" s="384"/>
      <c r="G32" s="385"/>
      <c r="H32" s="385"/>
      <c r="I32" s="79" t="s">
        <v>147</v>
      </c>
      <c r="L32" s="391"/>
    </row>
    <row r="33" spans="2:9">
      <c r="B33" s="74" t="s">
        <v>149</v>
      </c>
      <c r="C33" s="383">
        <v>25000000</v>
      </c>
      <c r="D33" s="383">
        <v>25000000</v>
      </c>
      <c r="E33" s="383">
        <v>25000000</v>
      </c>
      <c r="F33" s="383">
        <v>25000000</v>
      </c>
      <c r="G33" s="383">
        <v>5000000000</v>
      </c>
      <c r="H33" s="383">
        <v>200000000</v>
      </c>
      <c r="I33" s="76">
        <v>122673586.15020001</v>
      </c>
    </row>
    <row r="34" spans="2:9">
      <c r="B34" s="74" t="s">
        <v>150</v>
      </c>
      <c r="C34" s="383">
        <v>1500000</v>
      </c>
      <c r="D34" s="383">
        <v>500000</v>
      </c>
      <c r="E34" s="383">
        <v>2000000</v>
      </c>
      <c r="F34" s="383">
        <v>4000000</v>
      </c>
      <c r="G34" s="383">
        <v>1000000000</v>
      </c>
      <c r="H34" s="383">
        <v>40000000</v>
      </c>
      <c r="I34" s="76">
        <v>11057999.629999999</v>
      </c>
    </row>
    <row r="35" spans="2:9" ht="13.5" thickBot="1">
      <c r="B35" s="80" t="s">
        <v>38</v>
      </c>
      <c r="C35" s="81">
        <v>14065719.98</v>
      </c>
      <c r="D35" s="81">
        <v>1210980.6299999999</v>
      </c>
      <c r="E35" s="81">
        <v>9951054.3100000005</v>
      </c>
      <c r="F35" s="81">
        <v>9943309.370000001</v>
      </c>
      <c r="G35" s="81">
        <v>182079376.25010002</v>
      </c>
      <c r="H35" s="81">
        <v>7607413.1504999995</v>
      </c>
      <c r="I35" s="82">
        <v>224857853.69059998</v>
      </c>
    </row>
    <row r="36" spans="2:9" ht="13.5" thickBot="1">
      <c r="B36" s="83"/>
      <c r="C36" s="84"/>
      <c r="D36" s="84"/>
      <c r="E36" s="84"/>
      <c r="F36" s="84"/>
      <c r="G36" s="84"/>
      <c r="H36" s="84"/>
      <c r="I36" s="85"/>
    </row>
    <row r="37" spans="2:9">
      <c r="B37" s="333">
        <v>39873</v>
      </c>
      <c r="C37" s="335" t="s">
        <v>137</v>
      </c>
      <c r="D37" s="335"/>
      <c r="E37" s="335"/>
      <c r="F37" s="335"/>
      <c r="G37" s="335"/>
      <c r="H37" s="335"/>
      <c r="I37" s="336" t="s">
        <v>38</v>
      </c>
    </row>
    <row r="38" spans="2:9" ht="12.75" customHeight="1">
      <c r="B38" s="334"/>
      <c r="C38" s="338" t="s">
        <v>138</v>
      </c>
      <c r="D38" s="338" t="s">
        <v>139</v>
      </c>
      <c r="E38" s="339" t="s">
        <v>140</v>
      </c>
      <c r="F38" s="339"/>
      <c r="G38" s="340" t="s">
        <v>141</v>
      </c>
      <c r="H38" s="340" t="s">
        <v>142</v>
      </c>
      <c r="I38" s="337"/>
    </row>
    <row r="39" spans="2:9">
      <c r="B39" s="334"/>
      <c r="C39" s="338"/>
      <c r="D39" s="338"/>
      <c r="E39" s="73" t="s">
        <v>143</v>
      </c>
      <c r="F39" s="73" t="s">
        <v>144</v>
      </c>
      <c r="G39" s="340"/>
      <c r="H39" s="340"/>
      <c r="I39" s="337"/>
    </row>
    <row r="40" spans="2:9">
      <c r="B40" s="74" t="s">
        <v>145</v>
      </c>
      <c r="C40" s="383">
        <v>10000000</v>
      </c>
      <c r="D40" s="383">
        <v>5000000</v>
      </c>
      <c r="E40" s="383">
        <v>30000000</v>
      </c>
      <c r="F40" s="383">
        <v>30000000</v>
      </c>
      <c r="G40" s="383">
        <v>4000000000</v>
      </c>
      <c r="H40" s="383">
        <v>160000000</v>
      </c>
      <c r="I40" s="76">
        <v>96307500.049800023</v>
      </c>
    </row>
    <row r="41" spans="2:9">
      <c r="B41" s="74" t="s">
        <v>146</v>
      </c>
      <c r="C41" s="384"/>
      <c r="D41" s="384"/>
      <c r="E41" s="384"/>
      <c r="F41" s="384"/>
      <c r="G41" s="385"/>
      <c r="H41" s="385"/>
      <c r="I41" s="79" t="s">
        <v>147</v>
      </c>
    </row>
    <row r="42" spans="2:9">
      <c r="B42" s="74" t="s">
        <v>148</v>
      </c>
      <c r="C42" s="384"/>
      <c r="D42" s="384"/>
      <c r="E42" s="384"/>
      <c r="F42" s="384"/>
      <c r="G42" s="385"/>
      <c r="H42" s="385"/>
      <c r="I42" s="79" t="s">
        <v>147</v>
      </c>
    </row>
    <row r="43" spans="2:9">
      <c r="B43" s="74" t="s">
        <v>149</v>
      </c>
      <c r="C43" s="383">
        <v>25000000</v>
      </c>
      <c r="D43" s="383">
        <v>25000000</v>
      </c>
      <c r="E43" s="383">
        <v>25000000</v>
      </c>
      <c r="F43" s="383">
        <v>25000000</v>
      </c>
      <c r="G43" s="383">
        <v>5000000000</v>
      </c>
      <c r="H43" s="383">
        <v>200000000</v>
      </c>
      <c r="I43" s="76">
        <v>138769751.74849999</v>
      </c>
    </row>
    <row r="44" spans="2:9">
      <c r="B44" s="74" t="s">
        <v>150</v>
      </c>
      <c r="C44" s="383">
        <v>1500000</v>
      </c>
      <c r="D44" s="383">
        <v>500000</v>
      </c>
      <c r="E44" s="383">
        <v>2000000</v>
      </c>
      <c r="F44" s="383">
        <v>4000000</v>
      </c>
      <c r="G44" s="383">
        <v>1000000000</v>
      </c>
      <c r="H44" s="383">
        <v>40000000</v>
      </c>
      <c r="I44" s="76">
        <v>12232986.596700003</v>
      </c>
    </row>
    <row r="45" spans="2:9" ht="13.5" thickBot="1">
      <c r="B45" s="80" t="s">
        <v>38</v>
      </c>
      <c r="C45" s="81">
        <v>15229926.399999999</v>
      </c>
      <c r="D45" s="81">
        <v>1319098.6200000001</v>
      </c>
      <c r="E45" s="81">
        <v>10681745.130000001</v>
      </c>
      <c r="F45" s="81">
        <v>10755141.23</v>
      </c>
      <c r="G45" s="81">
        <v>201492185.84940004</v>
      </c>
      <c r="H45" s="81">
        <v>7832141.1655999999</v>
      </c>
      <c r="I45" s="82">
        <v>247310238.39500004</v>
      </c>
    </row>
    <row r="46" spans="2:9" ht="15.75" thickBot="1">
      <c r="B46" s="87"/>
      <c r="C46" s="89"/>
      <c r="D46" s="89"/>
      <c r="E46" s="89"/>
      <c r="F46" s="89"/>
      <c r="G46" s="89"/>
      <c r="H46" s="89"/>
      <c r="I46" s="87"/>
    </row>
    <row r="47" spans="2:9">
      <c r="B47" s="333">
        <v>39904</v>
      </c>
      <c r="C47" s="335" t="s">
        <v>137</v>
      </c>
      <c r="D47" s="335"/>
      <c r="E47" s="335"/>
      <c r="F47" s="335"/>
      <c r="G47" s="335"/>
      <c r="H47" s="335"/>
      <c r="I47" s="343" t="s">
        <v>38</v>
      </c>
    </row>
    <row r="48" spans="2:9">
      <c r="B48" s="334"/>
      <c r="C48" s="340" t="s">
        <v>138</v>
      </c>
      <c r="D48" s="340" t="s">
        <v>139</v>
      </c>
      <c r="E48" s="345" t="s">
        <v>140</v>
      </c>
      <c r="F48" s="345"/>
      <c r="G48" s="340" t="s">
        <v>141</v>
      </c>
      <c r="H48" s="340" t="s">
        <v>142</v>
      </c>
      <c r="I48" s="344"/>
    </row>
    <row r="49" spans="2:9">
      <c r="B49" s="334"/>
      <c r="C49" s="340"/>
      <c r="D49" s="340"/>
      <c r="E49" s="73" t="s">
        <v>143</v>
      </c>
      <c r="F49" s="73" t="s">
        <v>144</v>
      </c>
      <c r="G49" s="340"/>
      <c r="H49" s="340"/>
      <c r="I49" s="344"/>
    </row>
    <row r="50" spans="2:9">
      <c r="B50" s="74" t="s">
        <v>145</v>
      </c>
      <c r="C50" s="383">
        <v>10000000</v>
      </c>
      <c r="D50" s="383">
        <v>5000000</v>
      </c>
      <c r="E50" s="383">
        <v>30000000</v>
      </c>
      <c r="F50" s="383">
        <v>30000000</v>
      </c>
      <c r="G50" s="383">
        <v>4000000000</v>
      </c>
      <c r="H50" s="383">
        <v>160000000</v>
      </c>
      <c r="I50" s="76">
        <f>SUM(C50:H50)</f>
        <v>4235000000</v>
      </c>
    </row>
    <row r="51" spans="2:9">
      <c r="B51" s="74" t="s">
        <v>146</v>
      </c>
      <c r="C51" s="384"/>
      <c r="D51" s="384"/>
      <c r="E51" s="384"/>
      <c r="F51" s="384"/>
      <c r="G51" s="385"/>
      <c r="H51" s="385"/>
      <c r="I51" s="79" t="s">
        <v>147</v>
      </c>
    </row>
    <row r="52" spans="2:9">
      <c r="B52" s="74" t="s">
        <v>148</v>
      </c>
      <c r="C52" s="384"/>
      <c r="D52" s="384"/>
      <c r="E52" s="384"/>
      <c r="F52" s="384"/>
      <c r="G52" s="385"/>
      <c r="H52" s="385"/>
      <c r="I52" s="79" t="s">
        <v>147</v>
      </c>
    </row>
    <row r="53" spans="2:9">
      <c r="B53" s="74" t="s">
        <v>149</v>
      </c>
      <c r="C53" s="383">
        <v>25000000</v>
      </c>
      <c r="D53" s="383">
        <v>25000000</v>
      </c>
      <c r="E53" s="383">
        <v>25000000</v>
      </c>
      <c r="F53" s="383">
        <v>25000000</v>
      </c>
      <c r="G53" s="383">
        <v>5000000000</v>
      </c>
      <c r="H53" s="383">
        <v>200000000</v>
      </c>
      <c r="I53" s="76">
        <f>SUM(C53:H53)</f>
        <v>5300000000</v>
      </c>
    </row>
    <row r="54" spans="2:9">
      <c r="B54" s="74" t="s">
        <v>150</v>
      </c>
      <c r="C54" s="383">
        <v>1500000</v>
      </c>
      <c r="D54" s="383">
        <v>500000</v>
      </c>
      <c r="E54" s="383">
        <v>2000000</v>
      </c>
      <c r="F54" s="383">
        <v>4000000</v>
      </c>
      <c r="G54" s="383">
        <v>1000000000</v>
      </c>
      <c r="H54" s="383">
        <v>40000000</v>
      </c>
      <c r="I54" s="76">
        <f>SUM(C54:H54)</f>
        <v>1048000000</v>
      </c>
    </row>
    <row r="55" spans="2:9" ht="13.5" thickBot="1">
      <c r="B55" s="80" t="s">
        <v>38</v>
      </c>
      <c r="C55" s="81">
        <f t="shared" ref="C55:H55" si="19">+C50+C53+C54</f>
        <v>36500000</v>
      </c>
      <c r="D55" s="81">
        <f t="shared" si="19"/>
        <v>30500000</v>
      </c>
      <c r="E55" s="81">
        <f t="shared" si="19"/>
        <v>57000000</v>
      </c>
      <c r="F55" s="81">
        <f t="shared" si="19"/>
        <v>59000000</v>
      </c>
      <c r="G55" s="81">
        <f t="shared" si="19"/>
        <v>10000000000</v>
      </c>
      <c r="H55" s="81">
        <f t="shared" si="19"/>
        <v>400000000</v>
      </c>
      <c r="I55" s="82">
        <f>SUM(I50:I54)</f>
        <v>10583000000</v>
      </c>
    </row>
    <row r="56" spans="2:9" ht="13.5" thickBot="1">
      <c r="B56" s="83"/>
      <c r="C56" s="84"/>
      <c r="D56" s="84"/>
      <c r="E56" s="84"/>
      <c r="F56" s="84"/>
      <c r="G56" s="84"/>
      <c r="H56" s="84"/>
      <c r="I56" s="85"/>
    </row>
    <row r="57" spans="2:9">
      <c r="B57" s="333">
        <v>39934</v>
      </c>
      <c r="C57" s="335" t="s">
        <v>137</v>
      </c>
      <c r="D57" s="335"/>
      <c r="E57" s="335"/>
      <c r="F57" s="335"/>
      <c r="G57" s="335"/>
      <c r="H57" s="335"/>
      <c r="I57" s="336" t="s">
        <v>38</v>
      </c>
    </row>
    <row r="58" spans="2:9">
      <c r="B58" s="334"/>
      <c r="C58" s="338" t="s">
        <v>138</v>
      </c>
      <c r="D58" s="338" t="s">
        <v>139</v>
      </c>
      <c r="E58" s="339" t="s">
        <v>140</v>
      </c>
      <c r="F58" s="339"/>
      <c r="G58" s="340" t="s">
        <v>141</v>
      </c>
      <c r="H58" s="340" t="s">
        <v>142</v>
      </c>
      <c r="I58" s="337"/>
    </row>
    <row r="59" spans="2:9">
      <c r="B59" s="334"/>
      <c r="C59" s="338"/>
      <c r="D59" s="338"/>
      <c r="E59" s="73" t="s">
        <v>143</v>
      </c>
      <c r="F59" s="73" t="s">
        <v>144</v>
      </c>
      <c r="G59" s="340"/>
      <c r="H59" s="340"/>
      <c r="I59" s="337"/>
    </row>
    <row r="60" spans="2:9">
      <c r="B60" s="74" t="s">
        <v>145</v>
      </c>
      <c r="C60" s="383">
        <v>10000000</v>
      </c>
      <c r="D60" s="383">
        <v>5000000</v>
      </c>
      <c r="E60" s="383">
        <v>30000000</v>
      </c>
      <c r="F60" s="383">
        <v>30000000</v>
      </c>
      <c r="G60" s="383">
        <v>4000000000</v>
      </c>
      <c r="H60" s="383">
        <v>160000000</v>
      </c>
      <c r="I60" s="76">
        <f>SUM(C60:H60)</f>
        <v>4235000000</v>
      </c>
    </row>
    <row r="61" spans="2:9">
      <c r="B61" s="74" t="s">
        <v>146</v>
      </c>
      <c r="C61" s="384"/>
      <c r="D61" s="384"/>
      <c r="E61" s="384"/>
      <c r="F61" s="384"/>
      <c r="G61" s="385"/>
      <c r="H61" s="385"/>
      <c r="I61" s="79" t="s">
        <v>147</v>
      </c>
    </row>
    <row r="62" spans="2:9">
      <c r="B62" s="74" t="s">
        <v>148</v>
      </c>
      <c r="C62" s="384"/>
      <c r="D62" s="384"/>
      <c r="E62" s="384"/>
      <c r="F62" s="384"/>
      <c r="G62" s="385"/>
      <c r="H62" s="385"/>
      <c r="I62" s="79" t="s">
        <v>147</v>
      </c>
    </row>
    <row r="63" spans="2:9">
      <c r="B63" s="74" t="s">
        <v>149</v>
      </c>
      <c r="C63" s="383">
        <v>25000000</v>
      </c>
      <c r="D63" s="383">
        <v>25000000</v>
      </c>
      <c r="E63" s="383">
        <v>25000000</v>
      </c>
      <c r="F63" s="383">
        <v>25000000</v>
      </c>
      <c r="G63" s="383">
        <v>5000000000</v>
      </c>
      <c r="H63" s="383">
        <v>200000000</v>
      </c>
      <c r="I63" s="76">
        <f>SUM(C63:H63)</f>
        <v>5300000000</v>
      </c>
    </row>
    <row r="64" spans="2:9">
      <c r="B64" s="74" t="s">
        <v>150</v>
      </c>
      <c r="C64" s="383">
        <v>1500000</v>
      </c>
      <c r="D64" s="383">
        <v>500000</v>
      </c>
      <c r="E64" s="383">
        <v>2000000</v>
      </c>
      <c r="F64" s="383">
        <v>4000000</v>
      </c>
      <c r="G64" s="383">
        <v>1000000000</v>
      </c>
      <c r="H64" s="383">
        <v>40000000</v>
      </c>
      <c r="I64" s="76">
        <f>SUM(C64:H64)</f>
        <v>1048000000</v>
      </c>
    </row>
    <row r="65" spans="2:9" ht="13.5" thickBot="1">
      <c r="B65" s="80" t="s">
        <v>38</v>
      </c>
      <c r="C65" s="81">
        <f t="shared" ref="C65:H65" si="20">+C60+C63+C64</f>
        <v>36500000</v>
      </c>
      <c r="D65" s="81">
        <f t="shared" si="20"/>
        <v>30500000</v>
      </c>
      <c r="E65" s="81">
        <f t="shared" si="20"/>
        <v>57000000</v>
      </c>
      <c r="F65" s="81">
        <f t="shared" si="20"/>
        <v>59000000</v>
      </c>
      <c r="G65" s="81">
        <f t="shared" si="20"/>
        <v>10000000000</v>
      </c>
      <c r="H65" s="81">
        <f t="shared" si="20"/>
        <v>400000000</v>
      </c>
      <c r="I65" s="82">
        <f>SUM(I60:I64)</f>
        <v>10583000000</v>
      </c>
    </row>
    <row r="66" spans="2:9" ht="13.5" thickBot="1">
      <c r="B66" s="83"/>
      <c r="C66" s="84"/>
      <c r="D66" s="84"/>
      <c r="E66" s="84"/>
      <c r="F66" s="84"/>
      <c r="G66" s="84"/>
      <c r="H66" s="84"/>
      <c r="I66" s="85"/>
    </row>
    <row r="67" spans="2:9">
      <c r="B67" s="333">
        <v>39965</v>
      </c>
      <c r="C67" s="335" t="s">
        <v>137</v>
      </c>
      <c r="D67" s="335"/>
      <c r="E67" s="335"/>
      <c r="F67" s="335"/>
      <c r="G67" s="335"/>
      <c r="H67" s="335"/>
      <c r="I67" s="336" t="s">
        <v>38</v>
      </c>
    </row>
    <row r="68" spans="2:9">
      <c r="B68" s="334"/>
      <c r="C68" s="338" t="s">
        <v>138</v>
      </c>
      <c r="D68" s="338" t="s">
        <v>139</v>
      </c>
      <c r="E68" s="339" t="s">
        <v>140</v>
      </c>
      <c r="F68" s="339"/>
      <c r="G68" s="340" t="s">
        <v>141</v>
      </c>
      <c r="H68" s="340" t="s">
        <v>142</v>
      </c>
      <c r="I68" s="337"/>
    </row>
    <row r="69" spans="2:9">
      <c r="B69" s="334"/>
      <c r="C69" s="338"/>
      <c r="D69" s="338"/>
      <c r="E69" s="73" t="s">
        <v>143</v>
      </c>
      <c r="F69" s="73" t="s">
        <v>144</v>
      </c>
      <c r="G69" s="340"/>
      <c r="H69" s="340"/>
      <c r="I69" s="337"/>
    </row>
    <row r="70" spans="2:9">
      <c r="B70" s="74" t="s">
        <v>145</v>
      </c>
      <c r="C70" s="383">
        <v>10000000</v>
      </c>
      <c r="D70" s="383">
        <v>5000000</v>
      </c>
      <c r="E70" s="383">
        <v>30000000</v>
      </c>
      <c r="F70" s="383">
        <v>30000000</v>
      </c>
      <c r="G70" s="383">
        <v>4000000000</v>
      </c>
      <c r="H70" s="383">
        <v>160000000</v>
      </c>
      <c r="I70" s="76">
        <f>SUM(C70:H70)</f>
        <v>4235000000</v>
      </c>
    </row>
    <row r="71" spans="2:9">
      <c r="B71" s="74" t="s">
        <v>146</v>
      </c>
      <c r="C71" s="384"/>
      <c r="D71" s="384"/>
      <c r="E71" s="384"/>
      <c r="F71" s="384"/>
      <c r="G71" s="385"/>
      <c r="H71" s="385"/>
      <c r="I71" s="79"/>
    </row>
    <row r="72" spans="2:9">
      <c r="B72" s="74" t="s">
        <v>148</v>
      </c>
      <c r="C72" s="384"/>
      <c r="D72" s="384"/>
      <c r="E72" s="384"/>
      <c r="F72" s="384"/>
      <c r="G72" s="385"/>
      <c r="H72" s="385"/>
      <c r="I72" s="79"/>
    </row>
    <row r="73" spans="2:9">
      <c r="B73" s="74" t="s">
        <v>149</v>
      </c>
      <c r="C73" s="383">
        <v>25000000</v>
      </c>
      <c r="D73" s="383">
        <v>25000000</v>
      </c>
      <c r="E73" s="383">
        <v>25000000</v>
      </c>
      <c r="F73" s="383">
        <v>25000000</v>
      </c>
      <c r="G73" s="383">
        <v>5000000000</v>
      </c>
      <c r="H73" s="383">
        <v>200000000</v>
      </c>
      <c r="I73" s="76">
        <f>SUM(C73:H73)</f>
        <v>5300000000</v>
      </c>
    </row>
    <row r="74" spans="2:9">
      <c r="B74" s="74" t="s">
        <v>150</v>
      </c>
      <c r="C74" s="383">
        <v>1500000</v>
      </c>
      <c r="D74" s="383">
        <v>500000</v>
      </c>
      <c r="E74" s="383">
        <v>2000000</v>
      </c>
      <c r="F74" s="383">
        <v>4000000</v>
      </c>
      <c r="G74" s="383">
        <v>1000000000</v>
      </c>
      <c r="H74" s="383">
        <v>40000000</v>
      </c>
      <c r="I74" s="76">
        <f>SUM(C74:H74)</f>
        <v>1048000000</v>
      </c>
    </row>
    <row r="75" spans="2:9" ht="13.5" thickBot="1">
      <c r="B75" s="80" t="s">
        <v>38</v>
      </c>
      <c r="C75" s="81">
        <f t="shared" ref="C75:H75" si="21">+C70+C73+C74</f>
        <v>36500000</v>
      </c>
      <c r="D75" s="81">
        <f t="shared" si="21"/>
        <v>30500000</v>
      </c>
      <c r="E75" s="81">
        <f t="shared" si="21"/>
        <v>57000000</v>
      </c>
      <c r="F75" s="81">
        <f t="shared" si="21"/>
        <v>59000000</v>
      </c>
      <c r="G75" s="81">
        <f t="shared" si="21"/>
        <v>10000000000</v>
      </c>
      <c r="H75" s="81">
        <f t="shared" si="21"/>
        <v>400000000</v>
      </c>
      <c r="I75" s="82">
        <f>SUM(I70:I74)</f>
        <v>10583000000</v>
      </c>
    </row>
    <row r="76" spans="2:9" ht="13.5" thickBot="1"/>
    <row r="77" spans="2:9">
      <c r="B77" s="333">
        <v>39995</v>
      </c>
      <c r="C77" s="335" t="s">
        <v>137</v>
      </c>
      <c r="D77" s="335"/>
      <c r="E77" s="335"/>
      <c r="F77" s="335"/>
      <c r="G77" s="335"/>
      <c r="H77" s="335"/>
      <c r="I77" s="343" t="s">
        <v>38</v>
      </c>
    </row>
    <row r="78" spans="2:9">
      <c r="B78" s="334"/>
      <c r="C78" s="340" t="s">
        <v>138</v>
      </c>
      <c r="D78" s="340" t="s">
        <v>139</v>
      </c>
      <c r="E78" s="345" t="s">
        <v>140</v>
      </c>
      <c r="F78" s="345"/>
      <c r="G78" s="340" t="s">
        <v>141</v>
      </c>
      <c r="H78" s="340" t="s">
        <v>142</v>
      </c>
      <c r="I78" s="344"/>
    </row>
    <row r="79" spans="2:9">
      <c r="B79" s="334"/>
      <c r="C79" s="340"/>
      <c r="D79" s="340"/>
      <c r="E79" s="73" t="s">
        <v>143</v>
      </c>
      <c r="F79" s="73" t="s">
        <v>144</v>
      </c>
      <c r="G79" s="340"/>
      <c r="H79" s="340"/>
      <c r="I79" s="344"/>
    </row>
    <row r="80" spans="2:9">
      <c r="B80" s="74" t="s">
        <v>145</v>
      </c>
      <c r="C80" s="383">
        <v>10000000</v>
      </c>
      <c r="D80" s="383">
        <v>5000000</v>
      </c>
      <c r="E80" s="383">
        <v>30000000</v>
      </c>
      <c r="F80" s="383">
        <v>30000000</v>
      </c>
      <c r="G80" s="383">
        <v>4000000000</v>
      </c>
      <c r="H80" s="383">
        <v>160000000</v>
      </c>
      <c r="I80" s="76">
        <f>SUM(C80:H80)</f>
        <v>4235000000</v>
      </c>
    </row>
    <row r="81" spans="2:11">
      <c r="B81" s="74" t="s">
        <v>146</v>
      </c>
      <c r="C81" s="384"/>
      <c r="D81" s="384"/>
      <c r="E81" s="384"/>
      <c r="F81" s="384"/>
      <c r="G81" s="385"/>
      <c r="H81" s="385"/>
      <c r="I81" s="79" t="s">
        <v>147</v>
      </c>
    </row>
    <row r="82" spans="2:11">
      <c r="B82" s="74" t="s">
        <v>148</v>
      </c>
      <c r="C82" s="384"/>
      <c r="D82" s="384"/>
      <c r="E82" s="384"/>
      <c r="F82" s="384"/>
      <c r="G82" s="385"/>
      <c r="H82" s="385"/>
      <c r="I82" s="79" t="s">
        <v>147</v>
      </c>
    </row>
    <row r="83" spans="2:11">
      <c r="B83" s="74" t="s">
        <v>149</v>
      </c>
      <c r="C83" s="383">
        <v>25000000</v>
      </c>
      <c r="D83" s="383">
        <v>25000000</v>
      </c>
      <c r="E83" s="383">
        <v>25000000</v>
      </c>
      <c r="F83" s="383">
        <v>25000000</v>
      </c>
      <c r="G83" s="383">
        <v>5000000000</v>
      </c>
      <c r="H83" s="383">
        <v>200000000</v>
      </c>
      <c r="I83" s="76">
        <f>SUM(C83:H83)</f>
        <v>5300000000</v>
      </c>
    </row>
    <row r="84" spans="2:11">
      <c r="B84" s="74" t="s">
        <v>150</v>
      </c>
      <c r="C84" s="383">
        <v>1500000</v>
      </c>
      <c r="D84" s="383">
        <v>500000</v>
      </c>
      <c r="E84" s="383">
        <v>2000000</v>
      </c>
      <c r="F84" s="383">
        <v>4000000</v>
      </c>
      <c r="G84" s="383">
        <v>1000000000</v>
      </c>
      <c r="H84" s="383">
        <v>40000000</v>
      </c>
      <c r="I84" s="76">
        <f>SUM(C84:H84)</f>
        <v>1048000000</v>
      </c>
      <c r="K84" s="93"/>
    </row>
    <row r="85" spans="2:11" ht="13.5" thickBot="1">
      <c r="B85" s="80" t="s">
        <v>38</v>
      </c>
      <c r="C85" s="81">
        <f t="shared" ref="C85:H85" si="22">+C80+C83+C84</f>
        <v>36500000</v>
      </c>
      <c r="D85" s="81">
        <f t="shared" si="22"/>
        <v>30500000</v>
      </c>
      <c r="E85" s="81">
        <f t="shared" si="22"/>
        <v>57000000</v>
      </c>
      <c r="F85" s="81">
        <f t="shared" si="22"/>
        <v>59000000</v>
      </c>
      <c r="G85" s="81">
        <f t="shared" si="22"/>
        <v>10000000000</v>
      </c>
      <c r="H85" s="81">
        <f t="shared" si="22"/>
        <v>400000000</v>
      </c>
      <c r="I85" s="82">
        <f>SUM(I80:I84)</f>
        <v>10583000000</v>
      </c>
      <c r="K85" s="93"/>
    </row>
    <row r="86" spans="2:11" ht="13.5" thickBot="1">
      <c r="B86" s="83"/>
      <c r="C86" s="84"/>
      <c r="D86" s="84"/>
      <c r="E86" s="84"/>
      <c r="F86" s="84"/>
      <c r="G86" s="84"/>
      <c r="H86" s="84"/>
      <c r="I86" s="85"/>
    </row>
    <row r="87" spans="2:11">
      <c r="B87" s="333">
        <v>40026</v>
      </c>
      <c r="C87" s="335" t="s">
        <v>137</v>
      </c>
      <c r="D87" s="335"/>
      <c r="E87" s="335"/>
      <c r="F87" s="335"/>
      <c r="G87" s="335"/>
      <c r="H87" s="335"/>
      <c r="I87" s="336" t="s">
        <v>38</v>
      </c>
    </row>
    <row r="88" spans="2:11">
      <c r="B88" s="334"/>
      <c r="C88" s="338" t="s">
        <v>138</v>
      </c>
      <c r="D88" s="338" t="s">
        <v>139</v>
      </c>
      <c r="E88" s="339" t="s">
        <v>140</v>
      </c>
      <c r="F88" s="339"/>
      <c r="G88" s="340" t="s">
        <v>141</v>
      </c>
      <c r="H88" s="340" t="s">
        <v>142</v>
      </c>
      <c r="I88" s="337"/>
    </row>
    <row r="89" spans="2:11">
      <c r="B89" s="334"/>
      <c r="C89" s="338"/>
      <c r="D89" s="338"/>
      <c r="E89" s="73" t="s">
        <v>143</v>
      </c>
      <c r="F89" s="73" t="s">
        <v>144</v>
      </c>
      <c r="G89" s="340"/>
      <c r="H89" s="340"/>
      <c r="I89" s="337"/>
    </row>
    <row r="90" spans="2:11">
      <c r="B90" s="74" t="s">
        <v>145</v>
      </c>
      <c r="C90" s="383">
        <v>10000000</v>
      </c>
      <c r="D90" s="383">
        <v>5000000</v>
      </c>
      <c r="E90" s="383">
        <v>30000000</v>
      </c>
      <c r="F90" s="383">
        <v>30000000</v>
      </c>
      <c r="G90" s="383">
        <v>4000000000</v>
      </c>
      <c r="H90" s="383">
        <v>160000000</v>
      </c>
      <c r="I90" s="76">
        <f>SUM(C90:H90)</f>
        <v>4235000000</v>
      </c>
    </row>
    <row r="91" spans="2:11">
      <c r="B91" s="74" t="s">
        <v>146</v>
      </c>
      <c r="C91" s="384"/>
      <c r="D91" s="384"/>
      <c r="E91" s="384"/>
      <c r="F91" s="384"/>
      <c r="G91" s="385"/>
      <c r="H91" s="385"/>
      <c r="I91" s="79" t="s">
        <v>147</v>
      </c>
    </row>
    <row r="92" spans="2:11">
      <c r="B92" s="74" t="s">
        <v>148</v>
      </c>
      <c r="C92" s="384"/>
      <c r="D92" s="384"/>
      <c r="E92" s="384"/>
      <c r="F92" s="384"/>
      <c r="G92" s="385"/>
      <c r="H92" s="385"/>
      <c r="I92" s="79" t="s">
        <v>147</v>
      </c>
    </row>
    <row r="93" spans="2:11">
      <c r="B93" s="74" t="s">
        <v>149</v>
      </c>
      <c r="C93" s="383">
        <v>25000000</v>
      </c>
      <c r="D93" s="383">
        <v>25000000</v>
      </c>
      <c r="E93" s="383">
        <v>25000000</v>
      </c>
      <c r="F93" s="383">
        <v>25000000</v>
      </c>
      <c r="G93" s="383">
        <v>5000000000</v>
      </c>
      <c r="H93" s="383">
        <v>200000000</v>
      </c>
      <c r="I93" s="76">
        <f>SUM(C93:H93)</f>
        <v>5300000000</v>
      </c>
    </row>
    <row r="94" spans="2:11">
      <c r="B94" s="74" t="s">
        <v>150</v>
      </c>
      <c r="C94" s="383">
        <v>1500000</v>
      </c>
      <c r="D94" s="383">
        <v>500000</v>
      </c>
      <c r="E94" s="383">
        <v>2000000</v>
      </c>
      <c r="F94" s="383">
        <v>4000000</v>
      </c>
      <c r="G94" s="383">
        <v>1000000000</v>
      </c>
      <c r="H94" s="383">
        <v>40000000</v>
      </c>
      <c r="I94" s="76">
        <f>SUM(C94:H94)</f>
        <v>1048000000</v>
      </c>
      <c r="K94" s="93"/>
    </row>
    <row r="95" spans="2:11" ht="13.5" thickBot="1">
      <c r="B95" s="80" t="s">
        <v>38</v>
      </c>
      <c r="C95" s="81">
        <f t="shared" ref="C95:H95" si="23">+C90+C93+C94</f>
        <v>36500000</v>
      </c>
      <c r="D95" s="81">
        <f t="shared" si="23"/>
        <v>30500000</v>
      </c>
      <c r="E95" s="81">
        <f t="shared" si="23"/>
        <v>57000000</v>
      </c>
      <c r="F95" s="81">
        <f t="shared" si="23"/>
        <v>59000000</v>
      </c>
      <c r="G95" s="81">
        <f t="shared" si="23"/>
        <v>10000000000</v>
      </c>
      <c r="H95" s="81">
        <f t="shared" si="23"/>
        <v>400000000</v>
      </c>
      <c r="I95" s="82">
        <f>SUM(I90:I94)</f>
        <v>10583000000</v>
      </c>
      <c r="K95" s="93"/>
    </row>
    <row r="96" spans="2:11" ht="13.5" thickBot="1">
      <c r="B96" s="83"/>
      <c r="C96" s="84"/>
      <c r="D96" s="84"/>
      <c r="E96" s="84"/>
      <c r="F96" s="84"/>
      <c r="G96" s="84"/>
      <c r="H96" s="84"/>
      <c r="I96" s="85"/>
    </row>
    <row r="97" spans="2:11">
      <c r="B97" s="333">
        <v>40057</v>
      </c>
      <c r="C97" s="335" t="s">
        <v>137</v>
      </c>
      <c r="D97" s="335"/>
      <c r="E97" s="335"/>
      <c r="F97" s="335"/>
      <c r="G97" s="335"/>
      <c r="H97" s="335"/>
      <c r="I97" s="336" t="s">
        <v>38</v>
      </c>
    </row>
    <row r="98" spans="2:11">
      <c r="B98" s="334"/>
      <c r="C98" s="338" t="s">
        <v>138</v>
      </c>
      <c r="D98" s="338" t="s">
        <v>139</v>
      </c>
      <c r="E98" s="339" t="s">
        <v>140</v>
      </c>
      <c r="F98" s="339"/>
      <c r="G98" s="340" t="s">
        <v>141</v>
      </c>
      <c r="H98" s="340" t="s">
        <v>142</v>
      </c>
      <c r="I98" s="337"/>
    </row>
    <row r="99" spans="2:11">
      <c r="B99" s="334"/>
      <c r="C99" s="338"/>
      <c r="D99" s="338"/>
      <c r="E99" s="73" t="s">
        <v>143</v>
      </c>
      <c r="F99" s="73" t="s">
        <v>144</v>
      </c>
      <c r="G99" s="340"/>
      <c r="H99" s="340"/>
      <c r="I99" s="337"/>
    </row>
    <row r="100" spans="2:11">
      <c r="B100" s="74" t="s">
        <v>145</v>
      </c>
      <c r="C100" s="383">
        <v>10000000</v>
      </c>
      <c r="D100" s="383">
        <v>5000000</v>
      </c>
      <c r="E100" s="383">
        <v>30000000</v>
      </c>
      <c r="F100" s="383">
        <v>30000000</v>
      </c>
      <c r="G100" s="383">
        <v>4000000000</v>
      </c>
      <c r="H100" s="383">
        <v>160000000</v>
      </c>
      <c r="I100" s="76">
        <f>SUM(C100:H100)</f>
        <v>4235000000</v>
      </c>
    </row>
    <row r="101" spans="2:11">
      <c r="B101" s="74" t="s">
        <v>146</v>
      </c>
      <c r="C101" s="384"/>
      <c r="D101" s="384"/>
      <c r="E101" s="384"/>
      <c r="F101" s="384"/>
      <c r="G101" s="385"/>
      <c r="H101" s="385"/>
      <c r="I101" s="79"/>
    </row>
    <row r="102" spans="2:11">
      <c r="B102" s="74" t="s">
        <v>148</v>
      </c>
      <c r="C102" s="384"/>
      <c r="D102" s="384"/>
      <c r="E102" s="384"/>
      <c r="F102" s="384"/>
      <c r="G102" s="385"/>
      <c r="H102" s="385"/>
      <c r="I102" s="79"/>
    </row>
    <row r="103" spans="2:11">
      <c r="B103" s="74" t="s">
        <v>149</v>
      </c>
      <c r="C103" s="383">
        <v>25000000</v>
      </c>
      <c r="D103" s="383">
        <v>25000000</v>
      </c>
      <c r="E103" s="383">
        <v>25000000</v>
      </c>
      <c r="F103" s="383">
        <v>25000000</v>
      </c>
      <c r="G103" s="383">
        <v>5000000000</v>
      </c>
      <c r="H103" s="383">
        <v>200000000</v>
      </c>
      <c r="I103" s="76">
        <f>SUM(C103:H103)</f>
        <v>5300000000</v>
      </c>
    </row>
    <row r="104" spans="2:11">
      <c r="B104" s="74" t="s">
        <v>150</v>
      </c>
      <c r="C104" s="383">
        <v>1500000</v>
      </c>
      <c r="D104" s="383">
        <v>500000</v>
      </c>
      <c r="E104" s="383">
        <v>2000000</v>
      </c>
      <c r="F104" s="383">
        <v>4000000</v>
      </c>
      <c r="G104" s="383">
        <v>1000000000</v>
      </c>
      <c r="H104" s="383">
        <v>40000000</v>
      </c>
      <c r="I104" s="76">
        <f>SUM(C104:H104)</f>
        <v>1048000000</v>
      </c>
      <c r="K104" s="93"/>
    </row>
    <row r="105" spans="2:11" ht="13.5" thickBot="1">
      <c r="B105" s="80" t="s">
        <v>38</v>
      </c>
      <c r="C105" s="81">
        <f t="shared" ref="C105:H105" si="24">+C100+C103+C104</f>
        <v>36500000</v>
      </c>
      <c r="D105" s="81">
        <f t="shared" si="24"/>
        <v>30500000</v>
      </c>
      <c r="E105" s="81">
        <f t="shared" si="24"/>
        <v>57000000</v>
      </c>
      <c r="F105" s="81">
        <f t="shared" si="24"/>
        <v>59000000</v>
      </c>
      <c r="G105" s="81">
        <f t="shared" si="24"/>
        <v>10000000000</v>
      </c>
      <c r="H105" s="81">
        <f t="shared" si="24"/>
        <v>400000000</v>
      </c>
      <c r="I105" s="82">
        <f>SUM(I100:I104)</f>
        <v>10583000000</v>
      </c>
      <c r="K105" s="93"/>
    </row>
    <row r="106" spans="2:11" ht="13.5" thickBot="1"/>
    <row r="107" spans="2:11">
      <c r="B107" s="333">
        <v>40087</v>
      </c>
      <c r="C107" s="335" t="s">
        <v>137</v>
      </c>
      <c r="D107" s="335"/>
      <c r="E107" s="335"/>
      <c r="F107" s="335"/>
      <c r="G107" s="335"/>
      <c r="H107" s="335"/>
      <c r="I107" s="343" t="s">
        <v>38</v>
      </c>
    </row>
    <row r="108" spans="2:11">
      <c r="B108" s="334"/>
      <c r="C108" s="340" t="s">
        <v>138</v>
      </c>
      <c r="D108" s="340" t="s">
        <v>139</v>
      </c>
      <c r="E108" s="345" t="s">
        <v>140</v>
      </c>
      <c r="F108" s="345"/>
      <c r="G108" s="340" t="s">
        <v>141</v>
      </c>
      <c r="H108" s="340" t="s">
        <v>142</v>
      </c>
      <c r="I108" s="344"/>
    </row>
    <row r="109" spans="2:11">
      <c r="B109" s="334"/>
      <c r="C109" s="340"/>
      <c r="D109" s="340"/>
      <c r="E109" s="73" t="s">
        <v>143</v>
      </c>
      <c r="F109" s="73" t="s">
        <v>144</v>
      </c>
      <c r="G109" s="340"/>
      <c r="H109" s="340"/>
      <c r="I109" s="344"/>
    </row>
    <row r="110" spans="2:11">
      <c r="B110" s="74" t="s">
        <v>145</v>
      </c>
      <c r="C110" s="383">
        <v>10000000</v>
      </c>
      <c r="D110" s="383">
        <v>5000000</v>
      </c>
      <c r="E110" s="383">
        <v>30000000</v>
      </c>
      <c r="F110" s="383">
        <v>30000000</v>
      </c>
      <c r="G110" s="383">
        <v>4000000000</v>
      </c>
      <c r="H110" s="383">
        <v>160000000</v>
      </c>
      <c r="I110" s="76">
        <v>79035629.358499989</v>
      </c>
    </row>
    <row r="111" spans="2:11">
      <c r="B111" s="74" t="s">
        <v>146</v>
      </c>
      <c r="C111" s="384"/>
      <c r="D111" s="384"/>
      <c r="E111" s="384"/>
      <c r="F111" s="384"/>
      <c r="G111" s="385"/>
      <c r="H111" s="385"/>
      <c r="I111" s="79" t="s">
        <v>147</v>
      </c>
    </row>
    <row r="112" spans="2:11">
      <c r="B112" s="74" t="s">
        <v>148</v>
      </c>
      <c r="C112" s="384"/>
      <c r="D112" s="384"/>
      <c r="E112" s="384"/>
      <c r="F112" s="384"/>
      <c r="G112" s="385"/>
      <c r="H112" s="385"/>
      <c r="I112" s="79" t="s">
        <v>147</v>
      </c>
    </row>
    <row r="113" spans="2:11">
      <c r="B113" s="74" t="s">
        <v>149</v>
      </c>
      <c r="C113" s="383">
        <v>25000000</v>
      </c>
      <c r="D113" s="383">
        <v>25000000</v>
      </c>
      <c r="E113" s="383">
        <v>25000000</v>
      </c>
      <c r="F113" s="383">
        <v>25000000</v>
      </c>
      <c r="G113" s="383">
        <v>5000000000</v>
      </c>
      <c r="H113" s="383">
        <v>200000000</v>
      </c>
      <c r="I113" s="76">
        <v>184983546.6257</v>
      </c>
    </row>
    <row r="114" spans="2:11">
      <c r="B114" s="74" t="s">
        <v>150</v>
      </c>
      <c r="C114" s="383">
        <v>1500000</v>
      </c>
      <c r="D114" s="383">
        <v>500000</v>
      </c>
      <c r="E114" s="383">
        <v>2000000</v>
      </c>
      <c r="F114" s="383">
        <v>4000000</v>
      </c>
      <c r="G114" s="383">
        <v>1000000000</v>
      </c>
      <c r="H114" s="383">
        <v>40000000</v>
      </c>
      <c r="I114" s="76">
        <v>15196036.106799999</v>
      </c>
      <c r="K114" s="93"/>
    </row>
    <row r="115" spans="2:11" ht="13.5" thickBot="1">
      <c r="B115" s="80" t="s">
        <v>38</v>
      </c>
      <c r="C115" s="81">
        <v>12397165.6205</v>
      </c>
      <c r="D115" s="81">
        <v>1271221.8986</v>
      </c>
      <c r="E115" s="81">
        <v>10772803.1272</v>
      </c>
      <c r="F115" s="81">
        <v>10137871.962199999</v>
      </c>
      <c r="G115" s="81">
        <v>238152773.23319998</v>
      </c>
      <c r="H115" s="81">
        <v>6483376.2492999984</v>
      </c>
      <c r="I115" s="82">
        <v>279215212.09100002</v>
      </c>
      <c r="K115" s="93"/>
    </row>
    <row r="116" spans="2:11" ht="13.5" thickBot="1">
      <c r="B116" s="83"/>
      <c r="C116" s="84"/>
      <c r="D116" s="84"/>
      <c r="E116" s="84"/>
      <c r="F116" s="84"/>
      <c r="G116" s="84"/>
      <c r="H116" s="84"/>
      <c r="I116" s="85"/>
    </row>
    <row r="117" spans="2:11">
      <c r="B117" s="333">
        <v>40118</v>
      </c>
      <c r="C117" s="335" t="s">
        <v>137</v>
      </c>
      <c r="D117" s="335"/>
      <c r="E117" s="335"/>
      <c r="F117" s="335"/>
      <c r="G117" s="335"/>
      <c r="H117" s="335"/>
      <c r="I117" s="336" t="s">
        <v>38</v>
      </c>
    </row>
    <row r="118" spans="2:11">
      <c r="B118" s="334"/>
      <c r="C118" s="338" t="s">
        <v>138</v>
      </c>
      <c r="D118" s="338" t="s">
        <v>139</v>
      </c>
      <c r="E118" s="339" t="s">
        <v>140</v>
      </c>
      <c r="F118" s="339"/>
      <c r="G118" s="340" t="s">
        <v>141</v>
      </c>
      <c r="H118" s="340" t="s">
        <v>142</v>
      </c>
      <c r="I118" s="337"/>
    </row>
    <row r="119" spans="2:11">
      <c r="B119" s="334"/>
      <c r="C119" s="338"/>
      <c r="D119" s="338"/>
      <c r="E119" s="73" t="s">
        <v>143</v>
      </c>
      <c r="F119" s="73" t="s">
        <v>144</v>
      </c>
      <c r="G119" s="340"/>
      <c r="H119" s="340"/>
      <c r="I119" s="337"/>
    </row>
    <row r="120" spans="2:11">
      <c r="B120" s="74" t="s">
        <v>145</v>
      </c>
      <c r="C120" s="383">
        <v>10000000</v>
      </c>
      <c r="D120" s="383">
        <v>5000000</v>
      </c>
      <c r="E120" s="383">
        <v>30000000</v>
      </c>
      <c r="F120" s="383">
        <v>30000000</v>
      </c>
      <c r="G120" s="383">
        <v>4000000000</v>
      </c>
      <c r="H120" s="383">
        <v>160000000</v>
      </c>
      <c r="I120" s="76">
        <v>76851850.613000184</v>
      </c>
    </row>
    <row r="121" spans="2:11">
      <c r="B121" s="74" t="s">
        <v>146</v>
      </c>
      <c r="C121" s="384"/>
      <c r="D121" s="384"/>
      <c r="E121" s="384"/>
      <c r="F121" s="384"/>
      <c r="G121" s="385"/>
      <c r="H121" s="385"/>
      <c r="I121" s="79" t="s">
        <v>147</v>
      </c>
    </row>
    <row r="122" spans="2:11">
      <c r="B122" s="74" t="s">
        <v>148</v>
      </c>
      <c r="C122" s="384"/>
      <c r="D122" s="384"/>
      <c r="E122" s="384"/>
      <c r="F122" s="384"/>
      <c r="G122" s="385"/>
      <c r="H122" s="385"/>
      <c r="I122" s="79" t="s">
        <v>147</v>
      </c>
    </row>
    <row r="123" spans="2:11">
      <c r="B123" s="74" t="s">
        <v>149</v>
      </c>
      <c r="C123" s="383">
        <v>25000000</v>
      </c>
      <c r="D123" s="383">
        <v>25000000</v>
      </c>
      <c r="E123" s="383">
        <v>25000000</v>
      </c>
      <c r="F123" s="383">
        <v>25000000</v>
      </c>
      <c r="G123" s="383">
        <v>5000000000</v>
      </c>
      <c r="H123" s="383">
        <v>200000000</v>
      </c>
      <c r="I123" s="76">
        <v>190607158.49640009</v>
      </c>
    </row>
    <row r="124" spans="2:11">
      <c r="B124" s="74" t="s">
        <v>150</v>
      </c>
      <c r="C124" s="383">
        <v>1500000</v>
      </c>
      <c r="D124" s="383">
        <v>500000</v>
      </c>
      <c r="E124" s="383">
        <v>2000000</v>
      </c>
      <c r="F124" s="383">
        <v>4000000</v>
      </c>
      <c r="G124" s="383">
        <v>1000000000</v>
      </c>
      <c r="H124" s="383">
        <v>40000000</v>
      </c>
      <c r="I124" s="76">
        <v>16083302.276700003</v>
      </c>
      <c r="K124" s="93"/>
    </row>
    <row r="125" spans="2:11" ht="13.5" thickBot="1">
      <c r="B125" s="80" t="s">
        <v>38</v>
      </c>
      <c r="C125" s="81">
        <v>12092409.816200001</v>
      </c>
      <c r="D125" s="81">
        <v>1464004.6199001539</v>
      </c>
      <c r="E125" s="81">
        <v>10652899.030799998</v>
      </c>
      <c r="F125" s="81">
        <v>9947289.7028999999</v>
      </c>
      <c r="G125" s="81">
        <v>243350206.33330011</v>
      </c>
      <c r="H125" s="81">
        <v>6035501.8830000013</v>
      </c>
      <c r="I125" s="82">
        <v>283542311.38610029</v>
      </c>
      <c r="K125" s="93"/>
    </row>
    <row r="126" spans="2:11" ht="13.5" thickBot="1">
      <c r="B126" s="83"/>
      <c r="C126" s="84"/>
      <c r="D126" s="84"/>
      <c r="E126" s="84"/>
      <c r="F126" s="84"/>
      <c r="G126" s="84"/>
      <c r="H126" s="84"/>
      <c r="I126" s="85"/>
    </row>
    <row r="127" spans="2:11">
      <c r="B127" s="333">
        <v>40148</v>
      </c>
      <c r="C127" s="335" t="s">
        <v>137</v>
      </c>
      <c r="D127" s="335"/>
      <c r="E127" s="335"/>
      <c r="F127" s="335"/>
      <c r="G127" s="335"/>
      <c r="H127" s="335"/>
      <c r="I127" s="336" t="s">
        <v>38</v>
      </c>
    </row>
    <row r="128" spans="2:11">
      <c r="B128" s="334"/>
      <c r="C128" s="338" t="s">
        <v>138</v>
      </c>
      <c r="D128" s="338" t="s">
        <v>139</v>
      </c>
      <c r="E128" s="339" t="s">
        <v>140</v>
      </c>
      <c r="F128" s="339"/>
      <c r="G128" s="340" t="s">
        <v>141</v>
      </c>
      <c r="H128" s="340" t="s">
        <v>142</v>
      </c>
      <c r="I128" s="337"/>
    </row>
    <row r="129" spans="2:12">
      <c r="B129" s="334"/>
      <c r="C129" s="338"/>
      <c r="D129" s="338"/>
      <c r="E129" s="73" t="s">
        <v>143</v>
      </c>
      <c r="F129" s="73" t="s">
        <v>144</v>
      </c>
      <c r="G129" s="340"/>
      <c r="H129" s="340"/>
      <c r="I129" s="337"/>
    </row>
    <row r="130" spans="2:12">
      <c r="B130" s="74" t="s">
        <v>145</v>
      </c>
      <c r="C130" s="383">
        <v>10000000</v>
      </c>
      <c r="D130" s="383">
        <v>5000000</v>
      </c>
      <c r="E130" s="383">
        <v>30000000</v>
      </c>
      <c r="F130" s="383">
        <v>30000000</v>
      </c>
      <c r="G130" s="383">
        <v>4000000000</v>
      </c>
      <c r="H130" s="383">
        <v>160000000</v>
      </c>
      <c r="I130" s="76">
        <v>78532803.601200044</v>
      </c>
    </row>
    <row r="131" spans="2:12">
      <c r="B131" s="74" t="s">
        <v>146</v>
      </c>
      <c r="C131" s="384"/>
      <c r="D131" s="384"/>
      <c r="E131" s="384"/>
      <c r="F131" s="384"/>
      <c r="G131" s="385"/>
      <c r="H131" s="385"/>
      <c r="I131" s="79"/>
    </row>
    <row r="132" spans="2:12">
      <c r="B132" s="74" t="s">
        <v>148</v>
      </c>
      <c r="C132" s="384"/>
      <c r="D132" s="384"/>
      <c r="E132" s="384"/>
      <c r="F132" s="384"/>
      <c r="G132" s="385"/>
      <c r="H132" s="385"/>
      <c r="I132" s="79"/>
    </row>
    <row r="133" spans="2:12">
      <c r="B133" s="74" t="s">
        <v>149</v>
      </c>
      <c r="C133" s="383">
        <v>25000000</v>
      </c>
      <c r="D133" s="383">
        <v>25000000</v>
      </c>
      <c r="E133" s="383">
        <v>25000000</v>
      </c>
      <c r="F133" s="383">
        <v>25000000</v>
      </c>
      <c r="G133" s="383">
        <v>5000000000</v>
      </c>
      <c r="H133" s="383">
        <v>200000000</v>
      </c>
      <c r="I133" s="76">
        <v>205436874.32449996</v>
      </c>
    </row>
    <row r="134" spans="2:12">
      <c r="B134" s="74" t="s">
        <v>150</v>
      </c>
      <c r="C134" s="383">
        <v>1500000</v>
      </c>
      <c r="D134" s="383">
        <v>500000</v>
      </c>
      <c r="E134" s="383">
        <v>2000000</v>
      </c>
      <c r="F134" s="383">
        <v>4000000</v>
      </c>
      <c r="G134" s="383">
        <v>1000000000</v>
      </c>
      <c r="H134" s="383">
        <v>40000000</v>
      </c>
      <c r="I134" s="76">
        <v>18804976.016800005</v>
      </c>
      <c r="K134" s="93"/>
    </row>
    <row r="135" spans="2:12" ht="13.5" thickBot="1">
      <c r="B135" s="80" t="s">
        <v>38</v>
      </c>
      <c r="C135" s="81">
        <v>12637041.1834</v>
      </c>
      <c r="D135" s="81">
        <v>1359576.2552000494</v>
      </c>
      <c r="E135" s="81">
        <v>11234127.8051</v>
      </c>
      <c r="F135" s="81">
        <v>10434156.113399999</v>
      </c>
      <c r="G135" s="81">
        <v>260649805.66769996</v>
      </c>
      <c r="H135" s="81">
        <v>6459946.9176999982</v>
      </c>
      <c r="I135" s="82">
        <v>302774653.9425</v>
      </c>
      <c r="K135" s="93"/>
    </row>
    <row r="137" spans="2:12">
      <c r="K137" s="93"/>
    </row>
    <row r="141" spans="2:12">
      <c r="K141" s="93"/>
      <c r="L141" s="98"/>
    </row>
    <row r="142" spans="2:12">
      <c r="K142" s="93"/>
      <c r="L142" s="98"/>
    </row>
  </sheetData>
  <mergeCells count="113">
    <mergeCell ref="L7:Q7"/>
    <mergeCell ref="R7:R9"/>
    <mergeCell ref="L8:L9"/>
    <mergeCell ref="M8:M9"/>
    <mergeCell ref="N8:O8"/>
    <mergeCell ref="P8:P9"/>
    <mergeCell ref="Q8:Q9"/>
    <mergeCell ref="G8:G9"/>
    <mergeCell ref="H8:H9"/>
    <mergeCell ref="B127:B129"/>
    <mergeCell ref="C127:H127"/>
    <mergeCell ref="I127:I129"/>
    <mergeCell ref="C128:C129"/>
    <mergeCell ref="D128:D129"/>
    <mergeCell ref="E128:F128"/>
    <mergeCell ref="G128:G129"/>
    <mergeCell ref="H128:H129"/>
    <mergeCell ref="B117:B119"/>
    <mergeCell ref="C117:H117"/>
    <mergeCell ref="I117:I119"/>
    <mergeCell ref="C118:C119"/>
    <mergeCell ref="D118:D119"/>
    <mergeCell ref="E118:F118"/>
    <mergeCell ref="G118:G119"/>
    <mergeCell ref="H118:H119"/>
    <mergeCell ref="B107:B109"/>
    <mergeCell ref="C107:H107"/>
    <mergeCell ref="I107:I109"/>
    <mergeCell ref="C108:C109"/>
    <mergeCell ref="D108:D109"/>
    <mergeCell ref="E108:F108"/>
    <mergeCell ref="G108:G109"/>
    <mergeCell ref="H108:H109"/>
    <mergeCell ref="B97:B99"/>
    <mergeCell ref="C97:H97"/>
    <mergeCell ref="I97:I99"/>
    <mergeCell ref="C98:C99"/>
    <mergeCell ref="D98:D99"/>
    <mergeCell ref="E98:F98"/>
    <mergeCell ref="G98:G99"/>
    <mergeCell ref="H98:H99"/>
    <mergeCell ref="B87:B89"/>
    <mergeCell ref="C87:H87"/>
    <mergeCell ref="I87:I89"/>
    <mergeCell ref="C88:C89"/>
    <mergeCell ref="D88:D89"/>
    <mergeCell ref="E88:F88"/>
    <mergeCell ref="G88:G89"/>
    <mergeCell ref="H88:H89"/>
    <mergeCell ref="B77:B79"/>
    <mergeCell ref="C77:H77"/>
    <mergeCell ref="I77:I79"/>
    <mergeCell ref="C78:C79"/>
    <mergeCell ref="D78:D79"/>
    <mergeCell ref="E78:F78"/>
    <mergeCell ref="G78:G79"/>
    <mergeCell ref="H78:H79"/>
    <mergeCell ref="B67:B69"/>
    <mergeCell ref="C67:H67"/>
    <mergeCell ref="I67:I69"/>
    <mergeCell ref="C68:C69"/>
    <mergeCell ref="D68:D69"/>
    <mergeCell ref="E68:F68"/>
    <mergeCell ref="G68:G69"/>
    <mergeCell ref="H68:H69"/>
    <mergeCell ref="B57:B59"/>
    <mergeCell ref="C57:H57"/>
    <mergeCell ref="I57:I59"/>
    <mergeCell ref="C58:C59"/>
    <mergeCell ref="D58:D59"/>
    <mergeCell ref="E58:F58"/>
    <mergeCell ref="G58:G59"/>
    <mergeCell ref="H58:H59"/>
    <mergeCell ref="B47:B49"/>
    <mergeCell ref="C47:H47"/>
    <mergeCell ref="I47:I49"/>
    <mergeCell ref="C48:C49"/>
    <mergeCell ref="D48:D49"/>
    <mergeCell ref="E48:F48"/>
    <mergeCell ref="G48:G49"/>
    <mergeCell ref="H48:H49"/>
    <mergeCell ref="B37:B39"/>
    <mergeCell ref="C37:H37"/>
    <mergeCell ref="I37:I39"/>
    <mergeCell ref="C38:C39"/>
    <mergeCell ref="D38:D39"/>
    <mergeCell ref="E38:F38"/>
    <mergeCell ref="G38:G39"/>
    <mergeCell ref="H38:H39"/>
    <mergeCell ref="B27:B29"/>
    <mergeCell ref="C27:H27"/>
    <mergeCell ref="I27:I29"/>
    <mergeCell ref="C28:C29"/>
    <mergeCell ref="D28:D29"/>
    <mergeCell ref="E28:F28"/>
    <mergeCell ref="G28:G29"/>
    <mergeCell ref="H28:H29"/>
    <mergeCell ref="A1:I1"/>
    <mergeCell ref="A3:B3"/>
    <mergeCell ref="B17:B19"/>
    <mergeCell ref="C17:H17"/>
    <mergeCell ref="I17:I19"/>
    <mergeCell ref="C18:C19"/>
    <mergeCell ref="D18:D19"/>
    <mergeCell ref="E18:F18"/>
    <mergeCell ref="G18:G19"/>
    <mergeCell ref="H18:H19"/>
    <mergeCell ref="B7:B9"/>
    <mergeCell ref="C7:H7"/>
    <mergeCell ref="I7:I9"/>
    <mergeCell ref="C8:C9"/>
    <mergeCell ref="D8:D9"/>
    <mergeCell ref="E8:F8"/>
  </mergeCells>
  <pageMargins left="0.75" right="0.75" top="1" bottom="1" header="0.5" footer="0.5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E3:K21"/>
  <sheetViews>
    <sheetView zoomScaleNormal="100" workbookViewId="0">
      <selection activeCell="K9" sqref="K9"/>
    </sheetView>
  </sheetViews>
  <sheetFormatPr baseColWidth="10" defaultColWidth="11.42578125" defaultRowHeight="12.75"/>
  <cols>
    <col min="1" max="1" width="1.85546875" style="27" customWidth="1"/>
    <col min="2" max="5" width="11.42578125" style="27"/>
    <col min="6" max="6" width="11.42578125" style="27" customWidth="1"/>
    <col min="7" max="7" width="11.42578125" style="27"/>
    <col min="8" max="8" width="13.42578125" style="27" customWidth="1"/>
    <col min="9" max="9" width="11.42578125" style="27"/>
    <col min="10" max="10" width="11.7109375" style="27" customWidth="1"/>
    <col min="11" max="16384" width="11.42578125" style="27"/>
  </cols>
  <sheetData>
    <row r="3" spans="5:11" ht="18">
      <c r="E3" s="26" t="s">
        <v>12</v>
      </c>
    </row>
    <row r="4" spans="5:11" s="28" customFormat="1" ht="13.5" thickBot="1"/>
    <row r="7" spans="5:11">
      <c r="H7" s="19"/>
      <c r="I7" s="19"/>
      <c r="J7" s="19"/>
      <c r="K7" s="23" t="s">
        <v>79</v>
      </c>
    </row>
    <row r="8" spans="5:11">
      <c r="G8" s="29"/>
      <c r="H8" s="20" t="s">
        <v>83</v>
      </c>
      <c r="I8" s="20"/>
      <c r="J8" s="20"/>
      <c r="K8" s="21">
        <f>K12+K13</f>
        <v>1.627707132461676E-4</v>
      </c>
    </row>
    <row r="9" spans="5:11">
      <c r="H9" s="20"/>
      <c r="I9" s="20"/>
      <c r="J9" s="20"/>
      <c r="K9" s="20"/>
    </row>
    <row r="10" spans="5:11">
      <c r="H10" s="20" t="s">
        <v>88</v>
      </c>
      <c r="I10" s="20"/>
      <c r="J10" s="20"/>
      <c r="K10" s="22">
        <f>'Cargo Tope 3G'!D24</f>
        <v>2.0313448481750526E-5</v>
      </c>
    </row>
    <row r="11" spans="5:11">
      <c r="H11" s="20" t="s">
        <v>87</v>
      </c>
      <c r="I11" s="20"/>
      <c r="J11" s="20"/>
      <c r="K11" s="22">
        <f>'Cargo Tope 3G'!E24</f>
        <v>1.2765992719658364E-4</v>
      </c>
    </row>
    <row r="12" spans="5:11">
      <c r="H12" s="20" t="s">
        <v>78</v>
      </c>
      <c r="I12" s="20"/>
      <c r="J12" s="20"/>
      <c r="K12" s="22">
        <f>K10+K11</f>
        <v>1.4797337567833417E-4</v>
      </c>
    </row>
    <row r="13" spans="5:11">
      <c r="H13" s="20" t="s">
        <v>10</v>
      </c>
      <c r="I13" s="20"/>
      <c r="J13" s="20"/>
      <c r="K13" s="22">
        <f>K12*overhead</f>
        <v>1.4797337567833418E-5</v>
      </c>
    </row>
    <row r="14" spans="5:11">
      <c r="K14" s="31"/>
    </row>
    <row r="16" spans="5:11">
      <c r="H16" s="30"/>
      <c r="K16" s="29"/>
    </row>
    <row r="21" spans="8:8">
      <c r="H21" s="29"/>
    </row>
  </sheetData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1"/>
  <sheetViews>
    <sheetView zoomScaleNormal="100" workbookViewId="0">
      <selection activeCell="F16" sqref="F16"/>
    </sheetView>
  </sheetViews>
  <sheetFormatPr baseColWidth="10" defaultColWidth="11.42578125" defaultRowHeight="12.75"/>
  <cols>
    <col min="1" max="1" width="33.5703125" style="54" customWidth="1"/>
    <col min="2" max="2" width="19.140625" style="54" customWidth="1"/>
    <col min="3" max="3" width="21" style="54" bestFit="1" customWidth="1"/>
    <col min="4" max="4" width="18.42578125" style="54" bestFit="1" customWidth="1"/>
    <col min="5" max="5" width="21" style="54" bestFit="1" customWidth="1"/>
    <col min="6" max="6" width="19.7109375" style="54" bestFit="1" customWidth="1"/>
    <col min="7" max="7" width="8.140625" style="54" bestFit="1" customWidth="1"/>
    <col min="8" max="8" width="8.85546875" style="54" bestFit="1" customWidth="1"/>
    <col min="9" max="9" width="11.42578125" style="54"/>
    <col min="10" max="10" width="14.140625" style="54" customWidth="1"/>
    <col min="11" max="11" width="19.5703125" style="54" customWidth="1"/>
    <col min="12" max="12" width="16.7109375" style="54" customWidth="1"/>
    <col min="13" max="13" width="19.5703125" style="54" customWidth="1"/>
    <col min="14" max="15" width="24.7109375" style="54" customWidth="1"/>
    <col min="16" max="16" width="17.42578125" style="54" customWidth="1"/>
    <col min="17" max="16384" width="11.42578125" style="54"/>
  </cols>
  <sheetData>
    <row r="1" spans="1:16" ht="15" customHeight="1">
      <c r="K1" s="301" t="s">
        <v>44</v>
      </c>
      <c r="L1" s="301" t="s">
        <v>45</v>
      </c>
    </row>
    <row r="2" spans="1:16">
      <c r="A2" s="148" t="s">
        <v>0</v>
      </c>
      <c r="K2" s="301"/>
      <c r="L2" s="301"/>
    </row>
    <row r="3" spans="1:16">
      <c r="K3" s="301"/>
      <c r="L3" s="301"/>
    </row>
    <row r="4" spans="1:16" ht="15">
      <c r="A4" s="149" t="s">
        <v>1</v>
      </c>
      <c r="D4" s="358">
        <v>0.14199999999999999</v>
      </c>
      <c r="E4" s="268"/>
      <c r="F4" s="149"/>
      <c r="G4" s="149"/>
      <c r="H4" s="149"/>
      <c r="I4" s="149"/>
      <c r="J4" s="150" t="s">
        <v>43</v>
      </c>
      <c r="K4" s="301"/>
      <c r="L4" s="301"/>
      <c r="M4" s="149"/>
      <c r="N4" s="149"/>
      <c r="O4" s="149"/>
      <c r="P4" s="149"/>
    </row>
    <row r="5" spans="1:16" ht="15">
      <c r="A5" s="54" t="s">
        <v>2</v>
      </c>
      <c r="D5" s="359">
        <v>5</v>
      </c>
      <c r="E5" s="269"/>
      <c r="J5" s="151" t="s">
        <v>46</v>
      </c>
      <c r="K5" s="361">
        <v>3.1504142857142901</v>
      </c>
      <c r="L5" s="361">
        <v>3.1524000000000001</v>
      </c>
    </row>
    <row r="6" spans="1:16">
      <c r="A6" s="167" t="s">
        <v>163</v>
      </c>
      <c r="B6" s="240" t="s">
        <v>180</v>
      </c>
      <c r="C6" s="240" t="s">
        <v>164</v>
      </c>
      <c r="D6" s="240" t="s">
        <v>38</v>
      </c>
      <c r="E6" s="258"/>
      <c r="J6" s="151" t="s">
        <v>47</v>
      </c>
      <c r="K6" s="361">
        <v>3.2351928571428599</v>
      </c>
      <c r="L6" s="361">
        <v>3.2378</v>
      </c>
    </row>
    <row r="7" spans="1:16">
      <c r="A7" s="239" t="s">
        <v>212</v>
      </c>
      <c r="B7" s="192">
        <f>SUM(F16:F18)</f>
        <v>1573901639.3442621</v>
      </c>
      <c r="C7" s="192">
        <f>C16+C18</f>
        <v>74880000000</v>
      </c>
      <c r="D7" s="152">
        <f>B7+C7</f>
        <v>76453901639.344269</v>
      </c>
      <c r="E7" s="259"/>
      <c r="J7" s="151" t="s">
        <v>48</v>
      </c>
      <c r="K7" s="361">
        <v>3.1732272727272699</v>
      </c>
      <c r="L7" s="361">
        <v>3.1763506493506499</v>
      </c>
    </row>
    <row r="8" spans="1:16">
      <c r="A8" s="239" t="s">
        <v>213</v>
      </c>
      <c r="B8" s="192">
        <f>F18+F17+F16*B23</f>
        <v>359016393.44262296</v>
      </c>
      <c r="C8" s="210">
        <f>C18+C16*B23</f>
        <v>15288000000</v>
      </c>
      <c r="D8" s="152">
        <f>B8+C8</f>
        <v>15647016393.442623</v>
      </c>
      <c r="E8" s="259"/>
      <c r="J8" s="151" t="s">
        <v>49</v>
      </c>
      <c r="K8" s="361">
        <v>3.0827499999999999</v>
      </c>
      <c r="L8" s="361">
        <v>3.08575714285714</v>
      </c>
    </row>
    <row r="9" spans="1:16">
      <c r="A9" s="54" t="s">
        <v>11</v>
      </c>
      <c r="D9" s="360">
        <v>0.1</v>
      </c>
      <c r="J9" s="151" t="s">
        <v>50</v>
      </c>
      <c r="K9" s="361">
        <v>2.9923142857142899</v>
      </c>
      <c r="L9" s="361">
        <v>2.9953785714285699</v>
      </c>
    </row>
    <row r="10" spans="1:16">
      <c r="A10" s="54" t="s">
        <v>42</v>
      </c>
      <c r="D10" s="153">
        <f>K17</f>
        <v>3.0101693069253237</v>
      </c>
      <c r="J10" s="151" t="s">
        <v>51</v>
      </c>
      <c r="K10" s="361">
        <v>2.9888231292517</v>
      </c>
      <c r="L10" s="361">
        <v>2.9915850340136099</v>
      </c>
    </row>
    <row r="11" spans="1:16">
      <c r="J11" s="151" t="s">
        <v>52</v>
      </c>
      <c r="K11" s="361">
        <v>3.01113571428571</v>
      </c>
      <c r="L11" s="361">
        <v>3.0133999999999999</v>
      </c>
    </row>
    <row r="12" spans="1:16">
      <c r="J12" s="151" t="s">
        <v>53</v>
      </c>
      <c r="K12" s="361">
        <v>2.9495034013605501</v>
      </c>
      <c r="L12" s="361">
        <v>2.9518775510204098</v>
      </c>
    </row>
    <row r="13" spans="1:16">
      <c r="A13" s="148" t="s">
        <v>80</v>
      </c>
      <c r="J13" s="151" t="s">
        <v>54</v>
      </c>
      <c r="K13" s="361">
        <v>2.9083246753246801</v>
      </c>
      <c r="L13" s="361">
        <v>2.9103961038961002</v>
      </c>
    </row>
    <row r="14" spans="1:16">
      <c r="A14" s="235"/>
      <c r="B14" s="304" t="s">
        <v>236</v>
      </c>
      <c r="C14" s="302" t="s">
        <v>161</v>
      </c>
      <c r="D14" s="302"/>
      <c r="E14" s="302"/>
      <c r="F14" s="302"/>
      <c r="G14" s="302"/>
      <c r="J14" s="151" t="s">
        <v>55</v>
      </c>
      <c r="K14" s="361">
        <v>2.8704928571428598</v>
      </c>
      <c r="L14" s="361">
        <v>2.87290714285714</v>
      </c>
    </row>
    <row r="15" spans="1:16" ht="15.75" customHeight="1" thickBot="1">
      <c r="A15" s="236"/>
      <c r="B15" s="305"/>
      <c r="C15" s="234" t="s">
        <v>164</v>
      </c>
      <c r="D15" s="234" t="s">
        <v>180</v>
      </c>
      <c r="E15" s="234" t="s">
        <v>70</v>
      </c>
      <c r="F15" s="255" t="s">
        <v>221</v>
      </c>
      <c r="G15" s="234" t="s">
        <v>75</v>
      </c>
      <c r="I15" s="188"/>
      <c r="J15" s="151" t="s">
        <v>56</v>
      </c>
      <c r="K15" s="361">
        <v>2.8832517006802698</v>
      </c>
      <c r="L15" s="361">
        <v>2.8856462585034</v>
      </c>
    </row>
    <row r="16" spans="1:16">
      <c r="A16" s="154" t="s">
        <v>62</v>
      </c>
      <c r="B16" s="362">
        <v>1000000000</v>
      </c>
      <c r="C16" s="155">
        <f>'Tráficos Totales'!O12</f>
        <v>62400000000</v>
      </c>
      <c r="D16" s="155">
        <f>'Tráficos Totales'!O18+'Tráficos Totales'!O30+'Tráficos Totales'!O36</f>
        <v>1272131147.5409834</v>
      </c>
      <c r="E16" s="155">
        <f>C16+D16</f>
        <v>63672131147.540985</v>
      </c>
      <c r="F16" s="155">
        <f>D16</f>
        <v>1272131147.5409834</v>
      </c>
      <c r="G16" s="156">
        <f>E16/$E$19</f>
        <v>0.5008505690921039</v>
      </c>
      <c r="I16" s="156"/>
      <c r="J16" s="151" t="s">
        <v>57</v>
      </c>
      <c r="K16" s="361">
        <v>2.8766015037593999</v>
      </c>
      <c r="L16" s="361">
        <v>2.8785112781954898</v>
      </c>
    </row>
    <row r="17" spans="1:21">
      <c r="A17" s="167" t="s">
        <v>63</v>
      </c>
      <c r="B17" s="362">
        <v>200000000</v>
      </c>
      <c r="C17" s="155">
        <f>'Tráficos Totales'!O11</f>
        <v>49920000000</v>
      </c>
      <c r="D17" s="155">
        <f>'Tráficos Totales'!O17+'Tráficos Totales'!O29+'Tráficos Totales'!O35</f>
        <v>954098360.65573776</v>
      </c>
      <c r="E17" s="155">
        <f t="shared" ref="E17:E18" si="0">C17+D17</f>
        <v>50874098360.655739</v>
      </c>
      <c r="F17" s="155">
        <f>B17</f>
        <v>200000000</v>
      </c>
      <c r="G17" s="156">
        <f>E17/$E$19</f>
        <v>0.40018012051362201</v>
      </c>
      <c r="I17" s="156"/>
      <c r="K17" s="161">
        <f>AVERAGE(K5:K16)</f>
        <v>3.0101693069253237</v>
      </c>
      <c r="L17" s="161">
        <f>AVERAGE(L5:L16)</f>
        <v>3.0126674776768763</v>
      </c>
      <c r="M17" s="161">
        <f>(K17+L17)/2</f>
        <v>3.0114183923011</v>
      </c>
    </row>
    <row r="18" spans="1:21">
      <c r="A18" s="157" t="s">
        <v>64</v>
      </c>
      <c r="B18" s="363">
        <v>100000000</v>
      </c>
      <c r="C18" s="158">
        <f>'Tráficos Totales'!O13</f>
        <v>12480000000</v>
      </c>
      <c r="D18" s="158">
        <f>'Tráficos Totales'!O19+'Tráficos Totales'!O31+'Tráficos Totales'!O37</f>
        <v>101770491.80327868</v>
      </c>
      <c r="E18" s="158">
        <f t="shared" si="0"/>
        <v>12581770491.803278</v>
      </c>
      <c r="F18" s="158">
        <f>D18</f>
        <v>101770491.80327868</v>
      </c>
      <c r="G18" s="159">
        <f>E18/$E$19</f>
        <v>9.8969310394274104E-2</v>
      </c>
      <c r="I18" s="189"/>
      <c r="J18" s="54" t="s">
        <v>73</v>
      </c>
    </row>
    <row r="19" spans="1:21">
      <c r="A19" s="148" t="s">
        <v>38</v>
      </c>
      <c r="B19" s="237">
        <f>SUM(B16:B18)</f>
        <v>1300000000</v>
      </c>
      <c r="C19" s="237">
        <f t="shared" ref="C19:D19" si="1">SUM(C16:C18)</f>
        <v>124800000000</v>
      </c>
      <c r="D19" s="237">
        <f t="shared" si="1"/>
        <v>2328000000</v>
      </c>
      <c r="E19" s="237">
        <f>SUM(E16:E18)</f>
        <v>127128000000</v>
      </c>
      <c r="F19" s="298">
        <f>SUM(F16:F18)</f>
        <v>1573901639.3442621</v>
      </c>
      <c r="G19" s="238">
        <f>E19/$E$19</f>
        <v>1</v>
      </c>
      <c r="I19" s="160"/>
      <c r="J19" s="146"/>
      <c r="K19" s="226"/>
      <c r="L19" s="146"/>
      <c r="M19" s="227"/>
    </row>
    <row r="20" spans="1:21">
      <c r="A20" s="154"/>
      <c r="B20" s="155"/>
      <c r="J20" s="226"/>
      <c r="K20" s="146"/>
      <c r="L20" s="227"/>
      <c r="M20" s="228"/>
    </row>
    <row r="21" spans="1:21">
      <c r="A21" s="154"/>
      <c r="B21" s="155"/>
      <c r="G21" s="192"/>
      <c r="H21" s="168"/>
      <c r="J21" s="134"/>
      <c r="K21" s="134"/>
      <c r="L21" s="134"/>
      <c r="M21" s="228"/>
      <c r="N21" s="228"/>
      <c r="O21" s="134"/>
      <c r="P21" s="134"/>
      <c r="Q21" s="134"/>
      <c r="R21" s="134"/>
      <c r="S21" s="134"/>
      <c r="T21" s="134"/>
      <c r="U21" s="134"/>
    </row>
    <row r="22" spans="1:21" ht="15" customHeight="1">
      <c r="A22" s="303" t="s">
        <v>65</v>
      </c>
      <c r="B22" s="303"/>
      <c r="D22" s="274"/>
      <c r="E22" s="274"/>
      <c r="F22" s="192"/>
      <c r="G22" s="168"/>
      <c r="I22" s="146"/>
      <c r="J22" s="146"/>
      <c r="K22" s="146"/>
      <c r="L22" s="134"/>
      <c r="M22" s="134"/>
      <c r="N22" s="134"/>
      <c r="O22" s="134"/>
      <c r="P22" s="134"/>
      <c r="Q22" s="134"/>
      <c r="R22" s="134"/>
      <c r="S22" s="134"/>
      <c r="T22" s="134"/>
    </row>
    <row r="23" spans="1:21">
      <c r="A23" s="163" t="s">
        <v>248</v>
      </c>
      <c r="B23" s="364">
        <v>4.4999999999999998E-2</v>
      </c>
      <c r="D23" s="272"/>
      <c r="E23" s="272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</row>
    <row r="24" spans="1:21">
      <c r="A24" s="163" t="s">
        <v>81</v>
      </c>
      <c r="B24" s="164">
        <f>F16*B23</f>
        <v>57245901.639344253</v>
      </c>
      <c r="D24" s="273"/>
      <c r="E24" s="273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</row>
    <row r="25" spans="1:21">
      <c r="A25" s="163" t="s">
        <v>76</v>
      </c>
      <c r="B25" s="165">
        <f>SUM(F16:F18)</f>
        <v>1573901639.3442621</v>
      </c>
      <c r="D25" s="197"/>
      <c r="E25" s="197"/>
      <c r="F25" s="193"/>
      <c r="I25" s="146"/>
      <c r="J25" s="134"/>
      <c r="K25" s="134"/>
      <c r="L25" s="229"/>
      <c r="M25" s="134"/>
      <c r="N25" s="134"/>
      <c r="O25" s="134"/>
      <c r="P25" s="134"/>
      <c r="Q25" s="134"/>
      <c r="R25" s="134"/>
      <c r="S25" s="134"/>
      <c r="T25" s="134"/>
    </row>
    <row r="26" spans="1:21" ht="15" customHeight="1">
      <c r="A26" s="166" t="s">
        <v>77</v>
      </c>
      <c r="B26" s="299">
        <f>B25/F19*'Tráficos HP'!J10</f>
        <v>1.2081116521120486E-2</v>
      </c>
      <c r="C26" s="192"/>
      <c r="F26" s="190"/>
      <c r="I26" s="146"/>
      <c r="J26" s="232"/>
      <c r="K26" s="232"/>
      <c r="L26" s="232"/>
      <c r="M26" s="232"/>
      <c r="N26" s="134"/>
      <c r="O26" s="134"/>
      <c r="P26" s="134"/>
      <c r="Q26" s="134"/>
      <c r="R26" s="134"/>
      <c r="S26" s="134"/>
      <c r="T26" s="134"/>
    </row>
    <row r="27" spans="1:21" ht="15">
      <c r="A27" s="300"/>
      <c r="B27" s="300"/>
      <c r="C27" s="275"/>
      <c r="G27" s="190"/>
      <c r="H27" s="167"/>
      <c r="J27" s="233"/>
      <c r="K27" s="233"/>
      <c r="L27" s="230"/>
      <c r="M27" s="230"/>
      <c r="N27" s="134"/>
      <c r="O27" s="134"/>
      <c r="P27" s="134"/>
      <c r="Q27" s="134"/>
      <c r="R27" s="134"/>
      <c r="S27" s="134"/>
      <c r="T27" s="134"/>
      <c r="U27" s="134"/>
    </row>
    <row r="28" spans="1:21" ht="15">
      <c r="J28" s="231"/>
      <c r="K28" s="231"/>
      <c r="L28" s="231"/>
      <c r="M28" s="231"/>
      <c r="N28" s="232"/>
      <c r="O28" s="232"/>
      <c r="P28" s="232"/>
      <c r="Q28" s="232"/>
      <c r="R28" s="134"/>
      <c r="S28" s="134"/>
      <c r="T28" s="134"/>
      <c r="U28" s="134"/>
    </row>
    <row r="29" spans="1:21" ht="18">
      <c r="A29" s="167" t="s">
        <v>181</v>
      </c>
      <c r="B29" s="162">
        <f>B26</f>
        <v>1.2081116521120486E-2</v>
      </c>
      <c r="E29" s="241"/>
      <c r="J29" s="134"/>
      <c r="K29" s="134"/>
      <c r="L29" s="134"/>
      <c r="M29" s="134"/>
      <c r="N29" s="230"/>
      <c r="O29" s="230"/>
      <c r="P29" s="230"/>
      <c r="Q29" s="230"/>
      <c r="R29" s="134"/>
      <c r="S29" s="134"/>
      <c r="T29" s="134"/>
      <c r="U29" s="134"/>
    </row>
    <row r="30" spans="1:21" ht="15">
      <c r="A30" s="167" t="s">
        <v>228</v>
      </c>
      <c r="B30" s="260">
        <f>B8/Traf_Tarjetas</f>
        <v>2.2944718942908511E-2</v>
      </c>
      <c r="N30" s="231"/>
      <c r="O30" s="231"/>
      <c r="P30" s="231"/>
      <c r="Q30" s="231"/>
      <c r="R30" s="134"/>
      <c r="S30" s="134"/>
      <c r="T30" s="134"/>
      <c r="U30" s="134"/>
    </row>
    <row r="31" spans="1:21">
      <c r="N31" s="134"/>
      <c r="O31" s="134"/>
      <c r="P31" s="134"/>
      <c r="Q31" s="134"/>
      <c r="R31" s="134"/>
      <c r="S31" s="134"/>
      <c r="T31" s="134"/>
      <c r="U31" s="134"/>
    </row>
  </sheetData>
  <mergeCells count="5">
    <mergeCell ref="L1:L4"/>
    <mergeCell ref="K1:K4"/>
    <mergeCell ref="C14:G14"/>
    <mergeCell ref="A22:B22"/>
    <mergeCell ref="B14:B15"/>
  </mergeCells>
  <phoneticPr fontId="1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D26"/>
  <sheetViews>
    <sheetView zoomScale="115" zoomScaleNormal="115" workbookViewId="0">
      <selection activeCell="B20" sqref="B20"/>
    </sheetView>
  </sheetViews>
  <sheetFormatPr baseColWidth="10" defaultColWidth="11.42578125" defaultRowHeight="12.75"/>
  <cols>
    <col min="1" max="1" width="57.28515625" style="8" customWidth="1"/>
    <col min="2" max="2" width="23.7109375" style="8" bestFit="1" customWidth="1"/>
    <col min="3" max="4" width="13" style="8" customWidth="1"/>
    <col min="5" max="5" width="12.42578125" style="8" customWidth="1"/>
    <col min="6" max="6" width="62.7109375" style="8" customWidth="1"/>
    <col min="7" max="16384" width="11.42578125" style="8"/>
  </cols>
  <sheetData>
    <row r="2" spans="1:4" ht="15">
      <c r="A2" s="306" t="s">
        <v>82</v>
      </c>
      <c r="B2" s="307"/>
    </row>
    <row r="3" spans="1:4">
      <c r="C3" s="306"/>
      <c r="D3" s="306"/>
    </row>
    <row r="4" spans="1:4">
      <c r="A4" s="24" t="s">
        <v>3</v>
      </c>
      <c r="B4" s="25" t="s">
        <v>59</v>
      </c>
      <c r="C4" s="15"/>
      <c r="D4" s="16"/>
    </row>
    <row r="5" spans="1:4">
      <c r="A5" s="9" t="s">
        <v>4</v>
      </c>
      <c r="B5" s="365">
        <v>1000000</v>
      </c>
      <c r="C5" s="9"/>
      <c r="D5" s="17"/>
    </row>
    <row r="6" spans="1:4">
      <c r="A6" s="9" t="s">
        <v>5</v>
      </c>
      <c r="B6" s="365">
        <v>1000000</v>
      </c>
      <c r="C6" s="9"/>
      <c r="D6" s="17"/>
    </row>
    <row r="7" spans="1:4">
      <c r="B7" s="366"/>
      <c r="C7" s="9"/>
      <c r="D7" s="17"/>
    </row>
    <row r="8" spans="1:4">
      <c r="A8" s="9" t="s">
        <v>6</v>
      </c>
      <c r="B8" s="365">
        <v>2000000</v>
      </c>
      <c r="C8" s="9"/>
      <c r="D8" s="17"/>
    </row>
    <row r="9" spans="1:4">
      <c r="A9" s="9" t="s">
        <v>7</v>
      </c>
      <c r="B9" s="365">
        <v>2000000</v>
      </c>
      <c r="C9" s="9"/>
      <c r="D9" s="17"/>
    </row>
    <row r="10" spans="1:4">
      <c r="A10" s="9"/>
      <c r="B10" s="365"/>
      <c r="C10" s="9"/>
      <c r="D10" s="17"/>
    </row>
    <row r="11" spans="1:4">
      <c r="A11" s="9" t="s">
        <v>60</v>
      </c>
      <c r="B11" s="365">
        <v>500000</v>
      </c>
      <c r="C11" s="9"/>
      <c r="D11" s="17"/>
    </row>
    <row r="12" spans="1:4">
      <c r="A12" s="32" t="s">
        <v>85</v>
      </c>
      <c r="B12" s="365">
        <v>500000</v>
      </c>
      <c r="C12" s="9"/>
      <c r="D12" s="17"/>
    </row>
    <row r="13" spans="1:4">
      <c r="A13" s="9"/>
      <c r="B13" s="365"/>
      <c r="C13" s="9"/>
      <c r="D13" s="18"/>
    </row>
    <row r="14" spans="1:4">
      <c r="A14" s="9" t="s">
        <v>8</v>
      </c>
      <c r="B14" s="365">
        <v>500000</v>
      </c>
      <c r="C14" s="9"/>
      <c r="D14" s="17"/>
    </row>
    <row r="15" spans="1:4">
      <c r="A15" s="9" t="s">
        <v>9</v>
      </c>
      <c r="B15" s="365">
        <v>500000</v>
      </c>
      <c r="C15" s="9"/>
      <c r="D15" s="17"/>
    </row>
    <row r="16" spans="1:4">
      <c r="B16" s="366"/>
      <c r="C16" s="9"/>
      <c r="D16" s="18"/>
    </row>
    <row r="17" spans="1:4">
      <c r="A17" s="12" t="s">
        <v>66</v>
      </c>
      <c r="B17" s="365">
        <v>100000</v>
      </c>
      <c r="C17" s="9"/>
      <c r="D17" s="17"/>
    </row>
    <row r="18" spans="1:4">
      <c r="A18" s="14"/>
      <c r="B18" s="365"/>
      <c r="C18" s="9"/>
      <c r="D18" s="17"/>
    </row>
    <row r="19" spans="1:4">
      <c r="A19" s="14" t="s">
        <v>74</v>
      </c>
      <c r="B19" s="365">
        <v>100000</v>
      </c>
      <c r="C19" s="9"/>
      <c r="D19" s="17"/>
    </row>
    <row r="20" spans="1:4" ht="13.5" thickBot="1">
      <c r="A20" s="213"/>
      <c r="B20" s="11"/>
      <c r="C20" s="9"/>
      <c r="D20" s="18"/>
    </row>
    <row r="21" spans="1:4">
      <c r="A21" s="15" t="s">
        <v>67</v>
      </c>
      <c r="B21" s="196">
        <f>SUM(B5:B19)</f>
        <v>8200000</v>
      </c>
    </row>
    <row r="23" spans="1:4">
      <c r="B23" s="195"/>
    </row>
    <row r="24" spans="1:4">
      <c r="A24" s="248" t="s">
        <v>214</v>
      </c>
      <c r="B24" s="249">
        <f>B21</f>
        <v>8200000</v>
      </c>
    </row>
    <row r="25" spans="1:4">
      <c r="B25" s="194"/>
    </row>
    <row r="26" spans="1:4">
      <c r="B26" s="194"/>
    </row>
  </sheetData>
  <mergeCells count="2">
    <mergeCell ref="C3:D3"/>
    <mergeCell ref="A2:B2"/>
  </mergeCells>
  <phoneticPr fontId="10" type="noConversion"/>
  <pageMargins left="0.70866141732283472" right="0.70866141732283472" top="0.74803149606299213" bottom="0.74803149606299213" header="0.31496062992125984" footer="0.31496062992125984"/>
  <pageSetup scale="7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E15" sqref="E15"/>
    </sheetView>
  </sheetViews>
  <sheetFormatPr baseColWidth="10" defaultRowHeight="15"/>
  <cols>
    <col min="1" max="1" width="15.28515625" customWidth="1"/>
    <col min="2" max="2" width="57.28515625" customWidth="1"/>
    <col min="3" max="3" width="15.28515625" customWidth="1"/>
    <col min="4" max="5" width="13" customWidth="1"/>
    <col min="6" max="6" width="12.42578125" customWidth="1"/>
    <col min="7" max="7" width="62.7109375" customWidth="1"/>
  </cols>
  <sheetData>
    <row r="1" spans="1:7">
      <c r="A1" s="132" t="s">
        <v>26</v>
      </c>
      <c r="B1" s="133"/>
      <c r="C1" s="133"/>
      <c r="D1" s="133"/>
      <c r="E1" s="133"/>
      <c r="F1" s="133"/>
      <c r="G1" s="134"/>
    </row>
    <row r="2" spans="1:7">
      <c r="A2" s="133"/>
      <c r="B2" s="133"/>
      <c r="C2" s="133"/>
      <c r="D2" s="133"/>
      <c r="E2" s="133"/>
      <c r="F2" s="133"/>
      <c r="G2" s="134"/>
    </row>
    <row r="3" spans="1:7" ht="33.75">
      <c r="A3" s="147" t="s">
        <v>13</v>
      </c>
      <c r="B3" s="147" t="s">
        <v>14</v>
      </c>
      <c r="C3" s="147" t="s">
        <v>15</v>
      </c>
      <c r="D3" s="147" t="s">
        <v>16</v>
      </c>
      <c r="E3" s="147" t="s">
        <v>17</v>
      </c>
      <c r="F3" s="147" t="s">
        <v>72</v>
      </c>
      <c r="G3" s="147" t="s">
        <v>68</v>
      </c>
    </row>
    <row r="4" spans="1:7">
      <c r="A4" s="135" t="s">
        <v>18</v>
      </c>
      <c r="B4" s="135" t="s">
        <v>19</v>
      </c>
      <c r="C4" s="367">
        <v>7</v>
      </c>
      <c r="D4" s="367">
        <v>1500</v>
      </c>
      <c r="E4" s="136">
        <f>C4*D4</f>
        <v>10500</v>
      </c>
      <c r="F4" s="136">
        <f>E4*14</f>
        <v>147000</v>
      </c>
      <c r="G4" s="135" t="s">
        <v>20</v>
      </c>
    </row>
    <row r="5" spans="1:7" ht="45">
      <c r="A5" s="135" t="s">
        <v>18</v>
      </c>
      <c r="B5" s="135" t="s">
        <v>21</v>
      </c>
      <c r="C5" s="367">
        <v>7</v>
      </c>
      <c r="D5" s="367">
        <v>1500</v>
      </c>
      <c r="E5" s="136">
        <f>C5*D5</f>
        <v>10500</v>
      </c>
      <c r="F5" s="136">
        <f>E5*14</f>
        <v>147000</v>
      </c>
      <c r="G5" s="135" t="s">
        <v>27</v>
      </c>
    </row>
    <row r="6" spans="1:7" ht="33.75">
      <c r="A6" s="135" t="s">
        <v>18</v>
      </c>
      <c r="B6" s="135" t="s">
        <v>22</v>
      </c>
      <c r="C6" s="367">
        <v>7</v>
      </c>
      <c r="D6" s="367">
        <v>1500</v>
      </c>
      <c r="E6" s="136">
        <f>C6*D6</f>
        <v>10500</v>
      </c>
      <c r="F6" s="136">
        <f>E6*14</f>
        <v>147000</v>
      </c>
      <c r="G6" s="135" t="s">
        <v>28</v>
      </c>
    </row>
    <row r="7" spans="1:7" ht="22.5">
      <c r="A7" s="135" t="s">
        <v>18</v>
      </c>
      <c r="B7" s="135" t="s">
        <v>23</v>
      </c>
      <c r="C7" s="367">
        <v>7</v>
      </c>
      <c r="D7" s="367">
        <v>1500</v>
      </c>
      <c r="E7" s="136">
        <f>C7*D7</f>
        <v>10500</v>
      </c>
      <c r="F7" s="136">
        <f t="shared" ref="F7:F8" si="0">E7*14</f>
        <v>147000</v>
      </c>
      <c r="G7" s="135" t="s">
        <v>29</v>
      </c>
    </row>
    <row r="8" spans="1:7" ht="22.5">
      <c r="A8" s="137" t="s">
        <v>18</v>
      </c>
      <c r="B8" s="137" t="s">
        <v>24</v>
      </c>
      <c r="C8" s="368">
        <v>7</v>
      </c>
      <c r="D8" s="368">
        <v>1500</v>
      </c>
      <c r="E8" s="138">
        <f>C8*D8</f>
        <v>10500</v>
      </c>
      <c r="F8" s="138">
        <f t="shared" si="0"/>
        <v>147000</v>
      </c>
      <c r="G8" s="137" t="s">
        <v>25</v>
      </c>
    </row>
    <row r="9" spans="1:7">
      <c r="A9" s="246"/>
      <c r="B9" s="250" t="s">
        <v>215</v>
      </c>
      <c r="C9" s="251"/>
      <c r="D9" s="251"/>
      <c r="E9" s="251"/>
      <c r="F9" s="251">
        <f>SUM(F4:F8)</f>
        <v>735000</v>
      </c>
      <c r="G9" s="246"/>
    </row>
    <row r="10" spans="1:7">
      <c r="A10" s="135"/>
      <c r="B10" s="250" t="s">
        <v>215</v>
      </c>
      <c r="C10" s="251"/>
      <c r="D10" s="251"/>
      <c r="E10" s="251"/>
      <c r="F10" s="252">
        <f>+F9</f>
        <v>735000</v>
      </c>
      <c r="G10" s="135"/>
    </row>
    <row r="11" spans="1:7">
      <c r="A11" s="135"/>
      <c r="B11" s="135"/>
      <c r="C11" s="136"/>
      <c r="D11" s="136"/>
      <c r="E11" s="136"/>
      <c r="F11" s="136"/>
      <c r="G11" s="135"/>
    </row>
    <row r="12" spans="1:7" ht="22.5">
      <c r="A12" s="135" t="s">
        <v>30</v>
      </c>
      <c r="B12" s="135" t="s">
        <v>31</v>
      </c>
      <c r="C12" s="310" t="s">
        <v>32</v>
      </c>
      <c r="D12" s="310"/>
      <c r="E12" s="367">
        <v>20000</v>
      </c>
      <c r="F12" s="136">
        <f>E12*12</f>
        <v>240000</v>
      </c>
      <c r="G12" s="135" t="s">
        <v>33</v>
      </c>
    </row>
    <row r="13" spans="1:7" ht="22.5">
      <c r="A13" s="135" t="s">
        <v>30</v>
      </c>
      <c r="B13" s="135" t="s">
        <v>34</v>
      </c>
      <c r="C13" s="310" t="s">
        <v>32</v>
      </c>
      <c r="D13" s="310"/>
      <c r="E13" s="367">
        <v>20000</v>
      </c>
      <c r="F13" s="136">
        <f>E13*12</f>
        <v>240000</v>
      </c>
      <c r="G13" s="308" t="s">
        <v>35</v>
      </c>
    </row>
    <row r="14" spans="1:7" ht="22.5">
      <c r="A14" s="135" t="s">
        <v>30</v>
      </c>
      <c r="B14" s="135" t="s">
        <v>36</v>
      </c>
      <c r="C14" s="310" t="s">
        <v>32</v>
      </c>
      <c r="D14" s="310"/>
      <c r="E14" s="367">
        <v>20000</v>
      </c>
      <c r="F14" s="136">
        <f>E14*12</f>
        <v>240000</v>
      </c>
      <c r="G14" s="308"/>
    </row>
    <row r="15" spans="1:7" ht="22.5">
      <c r="A15" s="137" t="s">
        <v>30</v>
      </c>
      <c r="B15" s="137" t="s">
        <v>37</v>
      </c>
      <c r="C15" s="311" t="s">
        <v>32</v>
      </c>
      <c r="D15" s="311"/>
      <c r="E15" s="368">
        <v>20000</v>
      </c>
      <c r="F15" s="138">
        <f>E15*12</f>
        <v>240000</v>
      </c>
      <c r="G15" s="309"/>
    </row>
    <row r="16" spans="1:7">
      <c r="A16" s="246"/>
      <c r="B16" s="250" t="s">
        <v>216</v>
      </c>
      <c r="C16" s="253"/>
      <c r="D16" s="253"/>
      <c r="E16" s="251"/>
      <c r="F16" s="251">
        <f>SUM(F12:F15)</f>
        <v>960000</v>
      </c>
      <c r="G16" s="246"/>
    </row>
    <row r="17" spans="1:7">
      <c r="A17" s="135"/>
      <c r="B17" s="250" t="s">
        <v>216</v>
      </c>
      <c r="C17" s="253"/>
      <c r="D17" s="253"/>
      <c r="E17" s="251"/>
      <c r="F17" s="252">
        <f>+F16</f>
        <v>960000</v>
      </c>
      <c r="G17" s="135"/>
    </row>
    <row r="18" spans="1:7">
      <c r="A18" s="140"/>
      <c r="B18" s="141"/>
      <c r="C18" s="136"/>
      <c r="D18" s="139"/>
      <c r="E18" s="136"/>
      <c r="F18" s="136"/>
      <c r="G18" s="140"/>
    </row>
    <row r="19" spans="1:7">
      <c r="A19" s="142"/>
      <c r="B19" s="143" t="s">
        <v>84</v>
      </c>
      <c r="C19" s="142"/>
      <c r="D19" s="144"/>
      <c r="E19" s="145"/>
      <c r="F19" s="145">
        <f>F10+F17</f>
        <v>1695000</v>
      </c>
      <c r="G19" s="142"/>
    </row>
    <row r="20" spans="1:7">
      <c r="A20" s="134"/>
      <c r="B20" s="134"/>
      <c r="C20" s="134"/>
      <c r="D20" s="134"/>
      <c r="E20" s="134"/>
      <c r="F20" s="134"/>
      <c r="G20" s="134"/>
    </row>
    <row r="21" spans="1:7">
      <c r="B21" s="248" t="s">
        <v>231</v>
      </c>
      <c r="C21" s="249">
        <f>F19</f>
        <v>1695000</v>
      </c>
    </row>
  </sheetData>
  <mergeCells count="5">
    <mergeCell ref="G13:G15"/>
    <mergeCell ref="C14:D14"/>
    <mergeCell ref="C15:D15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O26"/>
  <sheetViews>
    <sheetView zoomScale="85" zoomScaleNormal="85" workbookViewId="0">
      <selection activeCell="B23" sqref="B23:M24"/>
    </sheetView>
  </sheetViews>
  <sheetFormatPr baseColWidth="10" defaultColWidth="9.140625" defaultRowHeight="11.25"/>
  <cols>
    <col min="1" max="1" width="30.28515625" style="2" customWidth="1"/>
    <col min="2" max="14" width="12" style="2" customWidth="1"/>
    <col min="15" max="15" width="15.42578125" style="2" bestFit="1" customWidth="1"/>
    <col min="16" max="16384" width="9.140625" style="2"/>
  </cols>
  <sheetData>
    <row r="2" spans="1:15">
      <c r="A2" s="312" t="s">
        <v>58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</row>
    <row r="3" spans="1:15" ht="12" thickBot="1">
      <c r="A3" s="1" t="s">
        <v>14</v>
      </c>
      <c r="B3" s="1">
        <v>39814</v>
      </c>
      <c r="C3" s="1">
        <v>39845</v>
      </c>
      <c r="D3" s="1">
        <v>39873</v>
      </c>
      <c r="E3" s="1">
        <v>39904</v>
      </c>
      <c r="F3" s="1">
        <v>39934</v>
      </c>
      <c r="G3" s="1">
        <v>39965</v>
      </c>
      <c r="H3" s="1">
        <v>39995</v>
      </c>
      <c r="I3" s="1">
        <v>40026</v>
      </c>
      <c r="J3" s="1">
        <v>40057</v>
      </c>
      <c r="K3" s="1">
        <v>40087</v>
      </c>
      <c r="L3" s="1">
        <v>40118</v>
      </c>
      <c r="M3" s="1">
        <v>40148</v>
      </c>
      <c r="N3" s="1" t="s">
        <v>38</v>
      </c>
    </row>
    <row r="4" spans="1:15">
      <c r="A4" s="2" t="s">
        <v>39</v>
      </c>
      <c r="B4" s="369">
        <v>100000</v>
      </c>
      <c r="C4" s="369">
        <v>100000</v>
      </c>
      <c r="D4" s="369">
        <v>100000</v>
      </c>
      <c r="E4" s="369">
        <v>100000</v>
      </c>
      <c r="F4" s="369">
        <v>100000</v>
      </c>
      <c r="G4" s="369">
        <v>100000</v>
      </c>
      <c r="H4" s="369">
        <v>100000</v>
      </c>
      <c r="I4" s="369">
        <v>100000</v>
      </c>
      <c r="J4" s="369">
        <v>100000</v>
      </c>
      <c r="K4" s="369">
        <v>100000</v>
      </c>
      <c r="L4" s="369">
        <v>100000</v>
      </c>
      <c r="M4" s="369">
        <v>100000</v>
      </c>
      <c r="N4" s="267">
        <f>SUM(B4:M4)</f>
        <v>1200000</v>
      </c>
      <c r="O4" s="171"/>
    </row>
    <row r="5" spans="1:15">
      <c r="A5" s="2" t="s">
        <v>61</v>
      </c>
      <c r="B5" s="369">
        <v>100000</v>
      </c>
      <c r="C5" s="369">
        <v>100000</v>
      </c>
      <c r="D5" s="369">
        <v>100000</v>
      </c>
      <c r="E5" s="369">
        <v>100000</v>
      </c>
      <c r="F5" s="369">
        <v>100000</v>
      </c>
      <c r="G5" s="369">
        <v>100000</v>
      </c>
      <c r="H5" s="369">
        <v>100000</v>
      </c>
      <c r="I5" s="369">
        <v>100000</v>
      </c>
      <c r="J5" s="369">
        <v>100000</v>
      </c>
      <c r="K5" s="369">
        <v>100000</v>
      </c>
      <c r="L5" s="369">
        <v>100000</v>
      </c>
      <c r="M5" s="369">
        <v>100000</v>
      </c>
      <c r="N5" s="267">
        <f>SUM(B5:M5)</f>
        <v>1200000</v>
      </c>
      <c r="O5" s="171"/>
    </row>
    <row r="6" spans="1:15">
      <c r="A6" s="2" t="s">
        <v>40</v>
      </c>
      <c r="B6" s="369">
        <v>100000</v>
      </c>
      <c r="C6" s="369">
        <v>100000</v>
      </c>
      <c r="D6" s="369">
        <v>100000</v>
      </c>
      <c r="E6" s="369">
        <v>100000</v>
      </c>
      <c r="F6" s="369">
        <v>100000</v>
      </c>
      <c r="G6" s="369">
        <v>100000</v>
      </c>
      <c r="H6" s="369">
        <v>100000</v>
      </c>
      <c r="I6" s="369">
        <v>100000</v>
      </c>
      <c r="J6" s="369">
        <v>100000</v>
      </c>
      <c r="K6" s="369">
        <v>100000</v>
      </c>
      <c r="L6" s="369">
        <v>100000</v>
      </c>
      <c r="M6" s="369">
        <v>100000</v>
      </c>
      <c r="N6" s="267">
        <f>SUM(B6:M6)</f>
        <v>1200000</v>
      </c>
      <c r="O6" s="171"/>
    </row>
    <row r="7" spans="1:15">
      <c r="A7" s="2" t="s">
        <v>41</v>
      </c>
      <c r="B7" s="369">
        <v>100000</v>
      </c>
      <c r="C7" s="369">
        <v>100000</v>
      </c>
      <c r="D7" s="369">
        <v>100000</v>
      </c>
      <c r="E7" s="369">
        <v>100000</v>
      </c>
      <c r="F7" s="369">
        <v>100000</v>
      </c>
      <c r="G7" s="369">
        <v>100000</v>
      </c>
      <c r="H7" s="369">
        <v>100000</v>
      </c>
      <c r="I7" s="369">
        <v>100000</v>
      </c>
      <c r="J7" s="369">
        <v>100000</v>
      </c>
      <c r="K7" s="369">
        <v>100000</v>
      </c>
      <c r="L7" s="369">
        <v>100000</v>
      </c>
      <c r="M7" s="369">
        <v>100000</v>
      </c>
      <c r="N7" s="267">
        <f>SUM(B7:M7)</f>
        <v>1200000</v>
      </c>
      <c r="O7" s="171"/>
    </row>
    <row r="8" spans="1:15" ht="12" thickBot="1">
      <c r="A8" s="3" t="s">
        <v>38</v>
      </c>
      <c r="B8" s="7">
        <f t="shared" ref="B8:N8" si="0">SUM(B4:B7)</f>
        <v>400000</v>
      </c>
      <c r="C8" s="7">
        <f t="shared" si="0"/>
        <v>400000</v>
      </c>
      <c r="D8" s="7">
        <f t="shared" si="0"/>
        <v>400000</v>
      </c>
      <c r="E8" s="7">
        <f t="shared" si="0"/>
        <v>400000</v>
      </c>
      <c r="F8" s="7">
        <f t="shared" si="0"/>
        <v>400000</v>
      </c>
      <c r="G8" s="7">
        <f t="shared" si="0"/>
        <v>400000</v>
      </c>
      <c r="H8" s="7">
        <f t="shared" si="0"/>
        <v>400000</v>
      </c>
      <c r="I8" s="7">
        <f t="shared" si="0"/>
        <v>400000</v>
      </c>
      <c r="J8" s="7">
        <f t="shared" si="0"/>
        <v>400000</v>
      </c>
      <c r="K8" s="7">
        <f t="shared" si="0"/>
        <v>400000</v>
      </c>
      <c r="L8" s="7">
        <f t="shared" si="0"/>
        <v>400000</v>
      </c>
      <c r="M8" s="7">
        <f t="shared" si="0"/>
        <v>400000</v>
      </c>
      <c r="N8" s="7">
        <f t="shared" si="0"/>
        <v>4800000</v>
      </c>
      <c r="O8" s="171"/>
    </row>
    <row r="9" spans="1:15">
      <c r="N9" s="69"/>
      <c r="O9" s="171"/>
    </row>
    <row r="10" spans="1:15">
      <c r="O10" s="171"/>
    </row>
    <row r="11" spans="1:15">
      <c r="A11" s="312" t="s">
        <v>69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171"/>
    </row>
    <row r="12" spans="1:15" ht="12" thickBot="1">
      <c r="A12" s="1" t="s">
        <v>14</v>
      </c>
      <c r="B12" s="1">
        <v>39814</v>
      </c>
      <c r="C12" s="1">
        <v>39845</v>
      </c>
      <c r="D12" s="1">
        <v>39873</v>
      </c>
      <c r="E12" s="1">
        <v>39904</v>
      </c>
      <c r="F12" s="1">
        <v>39934</v>
      </c>
      <c r="G12" s="1">
        <v>39965</v>
      </c>
      <c r="H12" s="1">
        <v>39995</v>
      </c>
      <c r="I12" s="1">
        <v>40026</v>
      </c>
      <c r="J12" s="1">
        <v>40057</v>
      </c>
      <c r="K12" s="1">
        <v>40087</v>
      </c>
      <c r="L12" s="1">
        <v>40118</v>
      </c>
      <c r="M12" s="1">
        <v>40148</v>
      </c>
      <c r="N12" s="1" t="s">
        <v>70</v>
      </c>
      <c r="O12" s="171"/>
    </row>
    <row r="13" spans="1:15">
      <c r="A13" s="2" t="s">
        <v>71</v>
      </c>
      <c r="B13" s="369">
        <v>50000</v>
      </c>
      <c r="C13" s="369">
        <v>50000</v>
      </c>
      <c r="D13" s="369">
        <v>50000</v>
      </c>
      <c r="E13" s="369">
        <v>50000</v>
      </c>
      <c r="F13" s="369">
        <v>50000</v>
      </c>
      <c r="G13" s="369">
        <v>50000</v>
      </c>
      <c r="H13" s="369">
        <v>50000</v>
      </c>
      <c r="I13" s="369">
        <v>50000</v>
      </c>
      <c r="J13" s="369">
        <v>50000</v>
      </c>
      <c r="K13" s="369">
        <v>50000</v>
      </c>
      <c r="L13" s="369">
        <v>50000</v>
      </c>
      <c r="M13" s="369">
        <v>50000</v>
      </c>
      <c r="N13" s="13">
        <f t="shared" ref="N13:N14" si="1">SUM(B13:M13)</f>
        <v>600000</v>
      </c>
      <c r="O13" s="171"/>
    </row>
    <row r="14" spans="1:15" ht="12" thickBot="1">
      <c r="A14" s="4" t="s">
        <v>38</v>
      </c>
      <c r="B14" s="7">
        <f t="shared" ref="B14:L14" si="2">SUM(B13)</f>
        <v>50000</v>
      </c>
      <c r="C14" s="7">
        <f t="shared" si="2"/>
        <v>50000</v>
      </c>
      <c r="D14" s="7">
        <f t="shared" si="2"/>
        <v>50000</v>
      </c>
      <c r="E14" s="7">
        <f t="shared" si="2"/>
        <v>50000</v>
      </c>
      <c r="F14" s="7">
        <f t="shared" si="2"/>
        <v>50000</v>
      </c>
      <c r="G14" s="7">
        <f t="shared" si="2"/>
        <v>50000</v>
      </c>
      <c r="H14" s="7">
        <f t="shared" si="2"/>
        <v>50000</v>
      </c>
      <c r="I14" s="7">
        <f t="shared" si="2"/>
        <v>50000</v>
      </c>
      <c r="J14" s="7">
        <f t="shared" si="2"/>
        <v>50000</v>
      </c>
      <c r="K14" s="7">
        <f t="shared" si="2"/>
        <v>50000</v>
      </c>
      <c r="L14" s="7">
        <f t="shared" si="2"/>
        <v>50000</v>
      </c>
      <c r="M14" s="7">
        <f>SUM(M13)</f>
        <v>50000</v>
      </c>
      <c r="N14" s="7">
        <f t="shared" si="1"/>
        <v>600000</v>
      </c>
      <c r="O14" s="171"/>
    </row>
    <row r="16" spans="1:15">
      <c r="B16" s="297" t="s">
        <v>246</v>
      </c>
      <c r="C16" s="297" t="s">
        <v>162</v>
      </c>
    </row>
    <row r="17" spans="1:14" ht="25.5">
      <c r="A17" s="266" t="s">
        <v>235</v>
      </c>
      <c r="B17" s="262">
        <f>$N$8</f>
        <v>4800000</v>
      </c>
      <c r="C17" s="262">
        <f>B17/Tipo_Cambio</f>
        <v>1594594.6923838854</v>
      </c>
    </row>
    <row r="18" spans="1:14" ht="13.5" thickBot="1">
      <c r="A18" s="266" t="s">
        <v>247</v>
      </c>
      <c r="B18" s="262">
        <f>N14</f>
        <v>600000</v>
      </c>
      <c r="C18" s="262">
        <f>B18/Tipo_Cambio</f>
        <v>199324.33654798567</v>
      </c>
      <c r="F18" s="5"/>
    </row>
    <row r="19" spans="1:14" ht="13.5" thickBot="1">
      <c r="A19" s="10" t="s">
        <v>232</v>
      </c>
      <c r="B19" s="296">
        <f>B17+B18</f>
        <v>5400000</v>
      </c>
      <c r="C19" s="261">
        <f>B19/Tipo_Cambio</f>
        <v>1793919.0289318711</v>
      </c>
      <c r="F19" s="263"/>
    </row>
    <row r="20" spans="1:14" ht="12.75">
      <c r="A20" s="8"/>
      <c r="B20" s="8"/>
    </row>
    <row r="21" spans="1:14">
      <c r="A21" s="312" t="s">
        <v>245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</row>
    <row r="22" spans="1:14" ht="12" thickBot="1">
      <c r="A22" s="1" t="s">
        <v>14</v>
      </c>
      <c r="B22" s="1">
        <v>39814</v>
      </c>
      <c r="C22" s="1">
        <v>39845</v>
      </c>
      <c r="D22" s="1">
        <v>39873</v>
      </c>
      <c r="E22" s="1">
        <v>39904</v>
      </c>
      <c r="F22" s="1">
        <v>39934</v>
      </c>
      <c r="G22" s="1">
        <v>39965</v>
      </c>
      <c r="H22" s="1">
        <v>39995</v>
      </c>
      <c r="I22" s="1">
        <v>40026</v>
      </c>
      <c r="J22" s="1">
        <v>40057</v>
      </c>
      <c r="K22" s="1">
        <v>40087</v>
      </c>
      <c r="L22" s="1">
        <v>40118</v>
      </c>
      <c r="M22" s="1">
        <v>40148</v>
      </c>
      <c r="N22" s="1" t="s">
        <v>38</v>
      </c>
    </row>
    <row r="23" spans="1:14">
      <c r="A23" s="2" t="s">
        <v>242</v>
      </c>
      <c r="B23" s="369">
        <v>500000</v>
      </c>
      <c r="C23" s="369">
        <v>500000</v>
      </c>
      <c r="D23" s="369">
        <v>500000</v>
      </c>
      <c r="E23" s="369">
        <v>500000</v>
      </c>
      <c r="F23" s="369">
        <v>500000</v>
      </c>
      <c r="G23" s="369">
        <v>500000</v>
      </c>
      <c r="H23" s="369">
        <v>500000</v>
      </c>
      <c r="I23" s="369">
        <v>500000</v>
      </c>
      <c r="J23" s="369">
        <v>500000</v>
      </c>
      <c r="K23" s="369">
        <v>500000</v>
      </c>
      <c r="L23" s="369">
        <v>500000</v>
      </c>
      <c r="M23" s="369">
        <v>500000</v>
      </c>
      <c r="N23" s="6">
        <f>SUM(B23:M23)</f>
        <v>6000000</v>
      </c>
    </row>
    <row r="24" spans="1:14">
      <c r="A24" s="2" t="s">
        <v>243</v>
      </c>
      <c r="B24" s="369">
        <v>400000</v>
      </c>
      <c r="C24" s="369">
        <v>400000</v>
      </c>
      <c r="D24" s="369">
        <v>400000</v>
      </c>
      <c r="E24" s="369">
        <v>400000</v>
      </c>
      <c r="F24" s="369">
        <v>400000</v>
      </c>
      <c r="G24" s="369">
        <v>400000</v>
      </c>
      <c r="H24" s="369">
        <v>400000</v>
      </c>
      <c r="I24" s="369">
        <v>400000</v>
      </c>
      <c r="J24" s="369">
        <v>400000</v>
      </c>
      <c r="K24" s="369">
        <v>400000</v>
      </c>
      <c r="L24" s="369">
        <v>400000</v>
      </c>
      <c r="M24" s="369">
        <v>400000</v>
      </c>
      <c r="N24" s="6">
        <f>SUM(B24:M24)</f>
        <v>4800000</v>
      </c>
    </row>
    <row r="25" spans="1:14" ht="12" thickBot="1">
      <c r="A25" s="4" t="s">
        <v>38</v>
      </c>
      <c r="B25" s="7">
        <f>SUM(B23:B24)</f>
        <v>900000</v>
      </c>
      <c r="C25" s="7">
        <f t="shared" ref="C25:N25" si="3">SUM(C23:C24)</f>
        <v>900000</v>
      </c>
      <c r="D25" s="7">
        <f t="shared" si="3"/>
        <v>900000</v>
      </c>
      <c r="E25" s="7">
        <f t="shared" si="3"/>
        <v>900000</v>
      </c>
      <c r="F25" s="7">
        <f t="shared" si="3"/>
        <v>900000</v>
      </c>
      <c r="G25" s="7">
        <f t="shared" si="3"/>
        <v>900000</v>
      </c>
      <c r="H25" s="7">
        <f t="shared" si="3"/>
        <v>900000</v>
      </c>
      <c r="I25" s="7">
        <f t="shared" si="3"/>
        <v>900000</v>
      </c>
      <c r="J25" s="7">
        <f t="shared" si="3"/>
        <v>900000</v>
      </c>
      <c r="K25" s="7">
        <f t="shared" si="3"/>
        <v>900000</v>
      </c>
      <c r="L25" s="7">
        <f t="shared" si="3"/>
        <v>900000</v>
      </c>
      <c r="M25" s="7">
        <f t="shared" si="3"/>
        <v>900000</v>
      </c>
      <c r="N25" s="7">
        <f t="shared" si="3"/>
        <v>10800000</v>
      </c>
    </row>
    <row r="26" spans="1:14">
      <c r="N26" s="6"/>
    </row>
  </sheetData>
  <mergeCells count="3">
    <mergeCell ref="A2:N2"/>
    <mergeCell ref="A11:N11"/>
    <mergeCell ref="A21:N21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8"/>
  <sheetViews>
    <sheetView topLeftCell="A10" zoomScaleNormal="100" workbookViewId="0">
      <selection activeCell="C8" sqref="C8"/>
    </sheetView>
  </sheetViews>
  <sheetFormatPr baseColWidth="10" defaultColWidth="11.42578125" defaultRowHeight="12.75"/>
  <cols>
    <col min="1" max="1" width="32.85546875" style="169" customWidth="1"/>
    <col min="2" max="2" width="15.7109375" style="169" customWidth="1"/>
    <col min="3" max="3" width="20" style="169" bestFit="1" customWidth="1"/>
    <col min="4" max="4" width="17.28515625" style="169" bestFit="1" customWidth="1"/>
    <col min="5" max="5" width="17.5703125" style="169" customWidth="1"/>
    <col min="6" max="6" width="18.85546875" style="169" bestFit="1" customWidth="1"/>
    <col min="7" max="7" width="13.85546875" style="169" customWidth="1"/>
    <col min="8" max="8" width="15.140625" style="169" bestFit="1" customWidth="1"/>
    <col min="9" max="9" width="16.28515625" style="169" bestFit="1" customWidth="1"/>
    <col min="10" max="16384" width="11.42578125" style="169"/>
  </cols>
  <sheetData>
    <row r="1" spans="1:9" ht="18.75">
      <c r="A1" s="173" t="s">
        <v>165</v>
      </c>
      <c r="B1" s="173"/>
      <c r="C1" s="173"/>
      <c r="D1" s="33"/>
      <c r="E1" s="33"/>
      <c r="F1" s="172"/>
      <c r="G1" s="172"/>
      <c r="H1" s="172"/>
      <c r="I1" s="172"/>
    </row>
    <row r="2" spans="1:9" ht="15">
      <c r="A2" s="33"/>
      <c r="B2" s="33"/>
      <c r="C2" s="33"/>
      <c r="D2" s="33"/>
      <c r="E2" s="33"/>
      <c r="F2" s="172"/>
      <c r="G2" s="172"/>
      <c r="H2" s="172"/>
      <c r="I2" s="172"/>
    </row>
    <row r="3" spans="1:9" ht="18.75">
      <c r="A3" s="173" t="s">
        <v>166</v>
      </c>
      <c r="B3" s="173"/>
      <c r="C3" s="173"/>
      <c r="D3" s="33"/>
      <c r="E3" s="33"/>
      <c r="F3" s="172"/>
      <c r="G3" s="172"/>
      <c r="H3" s="172"/>
      <c r="I3" s="172"/>
    </row>
    <row r="4" spans="1:9" ht="18.75">
      <c r="A4" s="174" t="s">
        <v>167</v>
      </c>
      <c r="B4" s="174"/>
      <c r="C4" s="174"/>
      <c r="D4" s="33"/>
      <c r="E4" s="33"/>
      <c r="F4" s="172"/>
      <c r="G4" s="172"/>
      <c r="H4" s="172"/>
      <c r="I4" s="172"/>
    </row>
    <row r="5" spans="1:9" ht="56.25">
      <c r="A5" s="175" t="s">
        <v>230</v>
      </c>
      <c r="B5" s="176" t="s">
        <v>168</v>
      </c>
      <c r="C5" s="177">
        <f>+C8+C10</f>
        <v>52448.862369461596</v>
      </c>
      <c r="D5" s="33"/>
      <c r="E5" s="33"/>
      <c r="F5" s="172"/>
      <c r="G5" s="172"/>
      <c r="H5" s="163"/>
      <c r="I5" s="163"/>
    </row>
    <row r="6" spans="1:9" ht="18.75">
      <c r="A6" s="176" t="s">
        <v>223</v>
      </c>
      <c r="B6" s="176"/>
      <c r="C6" s="256">
        <f>CAPEX</f>
        <v>8200000</v>
      </c>
      <c r="D6" s="33"/>
      <c r="E6" s="33"/>
      <c r="F6" s="172"/>
      <c r="G6" s="172"/>
      <c r="H6" s="265"/>
      <c r="I6" s="265"/>
    </row>
    <row r="7" spans="1:9" ht="18.75">
      <c r="A7" s="176" t="s">
        <v>222</v>
      </c>
      <c r="B7" s="176"/>
      <c r="C7" s="256">
        <f>+C6*VLOOKUP(PERIODO_DEPRECIACION,Factores_Anualización,2,FALSE)</f>
        <v>2646391.97960464</v>
      </c>
      <c r="D7" s="33"/>
      <c r="E7" s="33"/>
      <c r="F7" s="172"/>
      <c r="G7" s="172"/>
      <c r="H7" s="163"/>
      <c r="I7" s="163"/>
    </row>
    <row r="8" spans="1:9" ht="18.75">
      <c r="A8" s="245" t="s">
        <v>224</v>
      </c>
      <c r="B8" s="176"/>
      <c r="C8" s="177">
        <f>C7*PCT_PREPAGO</f>
        <v>31971.369866162368</v>
      </c>
      <c r="D8" s="33"/>
      <c r="E8" s="172"/>
      <c r="F8" s="265"/>
      <c r="G8" s="265"/>
    </row>
    <row r="9" spans="1:9" ht="18.75">
      <c r="A9" s="245" t="s">
        <v>225</v>
      </c>
      <c r="B9" s="176"/>
      <c r="C9" s="256">
        <f>+'OPEX 3G'!C21</f>
        <v>1695000</v>
      </c>
      <c r="D9" s="33"/>
      <c r="E9" s="172"/>
      <c r="F9" s="254"/>
      <c r="G9" s="254"/>
    </row>
    <row r="10" spans="1:9" ht="18.75">
      <c r="A10" s="245" t="s">
        <v>226</v>
      </c>
      <c r="B10" s="176"/>
      <c r="C10" s="177">
        <f>+C9*PCT_PREPAGO</f>
        <v>20477.492503299225</v>
      </c>
      <c r="D10" s="33"/>
      <c r="E10" s="33"/>
      <c r="F10" s="163"/>
      <c r="G10" s="172"/>
      <c r="H10" s="172"/>
      <c r="I10" s="172"/>
    </row>
    <row r="11" spans="1:9" ht="56.25">
      <c r="A11" s="175" t="s">
        <v>229</v>
      </c>
      <c r="B11" s="176"/>
      <c r="C11" s="178">
        <f>C13</f>
        <v>41160.967925177145</v>
      </c>
      <c r="D11" s="33"/>
      <c r="E11" s="33"/>
      <c r="F11" s="172"/>
      <c r="G11" s="172"/>
      <c r="H11" s="172"/>
      <c r="I11" s="172"/>
    </row>
    <row r="12" spans="1:9" ht="30">
      <c r="A12" s="179" t="s">
        <v>237</v>
      </c>
      <c r="B12" s="176"/>
      <c r="C12" s="256">
        <f>+'OPEX Tarjetas'!C19</f>
        <v>1793919.0289318711</v>
      </c>
      <c r="D12" s="33"/>
      <c r="E12" s="33"/>
      <c r="F12" s="172"/>
      <c r="G12" s="172"/>
      <c r="H12" s="172"/>
      <c r="I12" s="172"/>
    </row>
    <row r="13" spans="1:9" ht="34.5" customHeight="1">
      <c r="A13" s="179" t="s">
        <v>238</v>
      </c>
      <c r="B13" s="176" t="s">
        <v>177</v>
      </c>
      <c r="C13" s="177">
        <f>C12*PCT_TARJETAS_VOZ</f>
        <v>41160.967925177145</v>
      </c>
      <c r="D13" s="33"/>
      <c r="E13" s="33"/>
      <c r="F13" s="172"/>
      <c r="G13" s="172"/>
      <c r="H13" s="172"/>
      <c r="I13" s="172"/>
    </row>
    <row r="14" spans="1:9" ht="18.75">
      <c r="A14" s="174" t="s">
        <v>169</v>
      </c>
      <c r="B14" s="174"/>
      <c r="C14" s="174"/>
      <c r="D14" s="33"/>
      <c r="E14" s="172"/>
      <c r="F14" s="172"/>
      <c r="G14" s="172"/>
      <c r="H14" s="172"/>
      <c r="I14" s="172"/>
    </row>
    <row r="15" spans="1:9" ht="54">
      <c r="A15" s="175" t="s">
        <v>227</v>
      </c>
      <c r="B15" s="174"/>
      <c r="C15" s="257">
        <f>Traf_Plataforma</f>
        <v>76453901639.344269</v>
      </c>
      <c r="D15" s="33"/>
      <c r="E15" s="172"/>
      <c r="F15" s="172"/>
      <c r="G15" s="172"/>
      <c r="H15" s="172"/>
      <c r="I15" s="172"/>
    </row>
    <row r="16" spans="1:9" ht="56.25">
      <c r="A16" s="175" t="s">
        <v>170</v>
      </c>
      <c r="B16" s="176"/>
      <c r="C16" s="180">
        <f>Datos!B7</f>
        <v>1573901639.3442621</v>
      </c>
      <c r="D16" s="270"/>
      <c r="E16" s="270"/>
    </row>
    <row r="17" spans="1:9" ht="55.5">
      <c r="A17" s="175" t="s">
        <v>239</v>
      </c>
      <c r="B17" s="176" t="s">
        <v>171</v>
      </c>
      <c r="C17" s="180">
        <f>Datos!B8</f>
        <v>359016393.44262296</v>
      </c>
      <c r="D17" s="271"/>
      <c r="E17" s="271"/>
    </row>
    <row r="18" spans="1:9" ht="15">
      <c r="A18" s="33"/>
      <c r="B18" s="33"/>
      <c r="C18" s="33"/>
      <c r="D18" s="33"/>
    </row>
    <row r="19" spans="1:9" ht="18.75">
      <c r="A19" s="173" t="s">
        <v>172</v>
      </c>
      <c r="B19" s="173"/>
      <c r="C19" s="33"/>
      <c r="D19" s="243" t="s">
        <v>88</v>
      </c>
      <c r="E19" s="243" t="s">
        <v>87</v>
      </c>
      <c r="F19" s="172"/>
      <c r="G19" s="172"/>
      <c r="H19" s="172"/>
      <c r="I19" s="172"/>
    </row>
    <row r="20" spans="1:9" ht="18">
      <c r="A20" s="181" t="s">
        <v>174</v>
      </c>
      <c r="B20" s="182">
        <f>+C5</f>
        <v>52448.862369461596</v>
      </c>
      <c r="C20" s="184">
        <f>B20/B21</f>
        <v>3.3324104288571344E-5</v>
      </c>
      <c r="D20" s="242">
        <f>C8/B21</f>
        <v>2.0313448481750526E-5</v>
      </c>
      <c r="E20" s="242">
        <f>C10/B21</f>
        <v>1.3010655806820816E-5</v>
      </c>
      <c r="F20" s="172"/>
      <c r="G20" s="172"/>
      <c r="H20" s="172"/>
      <c r="I20" s="172"/>
    </row>
    <row r="21" spans="1:9" ht="15">
      <c r="A21" s="181" t="s">
        <v>175</v>
      </c>
      <c r="B21" s="182">
        <f>+C16</f>
        <v>1573901639.3442621</v>
      </c>
      <c r="C21" s="33"/>
      <c r="F21" s="172"/>
      <c r="G21" s="172"/>
      <c r="H21" s="172"/>
      <c r="I21" s="172"/>
    </row>
    <row r="22" spans="1:9" ht="18">
      <c r="A22" s="181" t="s">
        <v>176</v>
      </c>
      <c r="B22" s="182">
        <f>+C11</f>
        <v>41160.967925177145</v>
      </c>
      <c r="C22" s="184">
        <f>B22/B23</f>
        <v>1.1464927138976281E-4</v>
      </c>
      <c r="D22" s="242">
        <v>0</v>
      </c>
      <c r="E22" s="242">
        <f>B22/B23</f>
        <v>1.1464927138976281E-4</v>
      </c>
      <c r="F22" s="172"/>
      <c r="G22" s="172"/>
      <c r="H22" s="172"/>
      <c r="I22" s="172"/>
    </row>
    <row r="23" spans="1:9" ht="15">
      <c r="A23" s="181" t="s">
        <v>171</v>
      </c>
      <c r="B23" s="182">
        <f>+C17</f>
        <v>359016393.44262296</v>
      </c>
      <c r="C23" s="33"/>
      <c r="F23" s="172"/>
      <c r="G23" s="172"/>
      <c r="H23" s="172"/>
      <c r="I23" s="172"/>
    </row>
    <row r="24" spans="1:9" ht="18">
      <c r="A24" s="183" t="s">
        <v>173</v>
      </c>
      <c r="B24" s="185">
        <f>IF(B21&gt;0,B20/B21,0)+IF(B23&gt;0,B22/B23,0)</f>
        <v>1.4797337567833417E-4</v>
      </c>
      <c r="C24" s="33"/>
      <c r="D24" s="184">
        <f>SUM(D20:D22)</f>
        <v>2.0313448481750526E-5</v>
      </c>
      <c r="E24" s="184">
        <f>SUM(E20:E22)</f>
        <v>1.2765992719658364E-4</v>
      </c>
      <c r="F24" s="172"/>
      <c r="G24" s="172"/>
      <c r="H24" s="172"/>
      <c r="I24" s="172"/>
    </row>
    <row r="25" spans="1:9" ht="15">
      <c r="A25" s="33"/>
      <c r="B25" s="191"/>
      <c r="C25" s="33"/>
      <c r="D25" s="33"/>
      <c r="E25" s="33"/>
      <c r="F25" s="172"/>
      <c r="G25" s="172"/>
      <c r="H25" s="172"/>
      <c r="I25" s="172"/>
    </row>
    <row r="26" spans="1:9" ht="15">
      <c r="A26" s="186" t="s">
        <v>14</v>
      </c>
      <c r="B26" s="186" t="s">
        <v>173</v>
      </c>
      <c r="C26" s="186" t="s">
        <v>178</v>
      </c>
      <c r="D26" s="186" t="s">
        <v>179</v>
      </c>
      <c r="E26" s="172"/>
      <c r="F26" s="172"/>
      <c r="G26" s="172"/>
      <c r="H26" s="172"/>
    </row>
    <row r="27" spans="1:9" ht="28.5">
      <c r="A27" s="187" t="s">
        <v>240</v>
      </c>
      <c r="B27" s="244">
        <f>+B24</f>
        <v>1.4797337567833417E-4</v>
      </c>
      <c r="C27" s="244">
        <f>B27*overhead</f>
        <v>1.4797337567833418E-5</v>
      </c>
      <c r="D27" s="212">
        <f t="shared" ref="D27" si="0">B27+C27</f>
        <v>1.627707132461676E-4</v>
      </c>
      <c r="E27" s="172"/>
      <c r="F27" s="172"/>
      <c r="G27" s="172"/>
      <c r="H27" s="172"/>
    </row>
    <row r="28" spans="1:9">
      <c r="F28" s="172"/>
      <c r="G28" s="172"/>
      <c r="H28" s="172"/>
      <c r="I28" s="172"/>
    </row>
  </sheetData>
  <phoneticPr fontId="10" type="noConversion"/>
  <pageMargins left="0.7" right="0.7" top="0.75" bottom="0.75" header="0.3" footer="0.3"/>
  <pageSetup paperSize="9" orientation="portrait" r:id="rId1"/>
  <legacyDrawing r:id="rId2"/>
  <oleObjects>
    <oleObject progId="Equation.3" shapeId="1025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H31"/>
  <sheetViews>
    <sheetView workbookViewId="0"/>
  </sheetViews>
  <sheetFormatPr baseColWidth="10" defaultRowHeight="15"/>
  <cols>
    <col min="1" max="1" width="5.7109375" customWidth="1"/>
    <col min="2" max="2" width="8.5703125" customWidth="1"/>
    <col min="257" max="257" width="5.7109375" customWidth="1"/>
    <col min="258" max="258" width="8.5703125" customWidth="1"/>
    <col min="513" max="513" width="5.7109375" customWidth="1"/>
    <col min="514" max="514" width="8.5703125" customWidth="1"/>
    <col min="769" max="769" width="5.7109375" customWidth="1"/>
    <col min="770" max="770" width="8.5703125" customWidth="1"/>
    <col min="1025" max="1025" width="5.7109375" customWidth="1"/>
    <col min="1026" max="1026" width="8.5703125" customWidth="1"/>
    <col min="1281" max="1281" width="5.7109375" customWidth="1"/>
    <col min="1282" max="1282" width="8.5703125" customWidth="1"/>
    <col min="1537" max="1537" width="5.7109375" customWidth="1"/>
    <col min="1538" max="1538" width="8.5703125" customWidth="1"/>
    <col min="1793" max="1793" width="5.7109375" customWidth="1"/>
    <col min="1794" max="1794" width="8.5703125" customWidth="1"/>
    <col min="2049" max="2049" width="5.7109375" customWidth="1"/>
    <col min="2050" max="2050" width="8.5703125" customWidth="1"/>
    <col min="2305" max="2305" width="5.7109375" customWidth="1"/>
    <col min="2306" max="2306" width="8.5703125" customWidth="1"/>
    <col min="2561" max="2561" width="5.7109375" customWidth="1"/>
    <col min="2562" max="2562" width="8.5703125" customWidth="1"/>
    <col min="2817" max="2817" width="5.7109375" customWidth="1"/>
    <col min="2818" max="2818" width="8.5703125" customWidth="1"/>
    <col min="3073" max="3073" width="5.7109375" customWidth="1"/>
    <col min="3074" max="3074" width="8.5703125" customWidth="1"/>
    <col min="3329" max="3329" width="5.7109375" customWidth="1"/>
    <col min="3330" max="3330" width="8.5703125" customWidth="1"/>
    <col min="3585" max="3585" width="5.7109375" customWidth="1"/>
    <col min="3586" max="3586" width="8.5703125" customWidth="1"/>
    <col min="3841" max="3841" width="5.7109375" customWidth="1"/>
    <col min="3842" max="3842" width="8.5703125" customWidth="1"/>
    <col min="4097" max="4097" width="5.7109375" customWidth="1"/>
    <col min="4098" max="4098" width="8.5703125" customWidth="1"/>
    <col min="4353" max="4353" width="5.7109375" customWidth="1"/>
    <col min="4354" max="4354" width="8.5703125" customWidth="1"/>
    <col min="4609" max="4609" width="5.7109375" customWidth="1"/>
    <col min="4610" max="4610" width="8.5703125" customWidth="1"/>
    <col min="4865" max="4865" width="5.7109375" customWidth="1"/>
    <col min="4866" max="4866" width="8.5703125" customWidth="1"/>
    <col min="5121" max="5121" width="5.7109375" customWidth="1"/>
    <col min="5122" max="5122" width="8.5703125" customWidth="1"/>
    <col min="5377" max="5377" width="5.7109375" customWidth="1"/>
    <col min="5378" max="5378" width="8.5703125" customWidth="1"/>
    <col min="5633" max="5633" width="5.7109375" customWidth="1"/>
    <col min="5634" max="5634" width="8.5703125" customWidth="1"/>
    <col min="5889" max="5889" width="5.7109375" customWidth="1"/>
    <col min="5890" max="5890" width="8.5703125" customWidth="1"/>
    <col min="6145" max="6145" width="5.7109375" customWidth="1"/>
    <col min="6146" max="6146" width="8.5703125" customWidth="1"/>
    <col min="6401" max="6401" width="5.7109375" customWidth="1"/>
    <col min="6402" max="6402" width="8.5703125" customWidth="1"/>
    <col min="6657" max="6657" width="5.7109375" customWidth="1"/>
    <col min="6658" max="6658" width="8.5703125" customWidth="1"/>
    <col min="6913" max="6913" width="5.7109375" customWidth="1"/>
    <col min="6914" max="6914" width="8.5703125" customWidth="1"/>
    <col min="7169" max="7169" width="5.7109375" customWidth="1"/>
    <col min="7170" max="7170" width="8.5703125" customWidth="1"/>
    <col min="7425" max="7425" width="5.7109375" customWidth="1"/>
    <col min="7426" max="7426" width="8.5703125" customWidth="1"/>
    <col min="7681" max="7681" width="5.7109375" customWidth="1"/>
    <col min="7682" max="7682" width="8.5703125" customWidth="1"/>
    <col min="7937" max="7937" width="5.7109375" customWidth="1"/>
    <col min="7938" max="7938" width="8.5703125" customWidth="1"/>
    <col min="8193" max="8193" width="5.7109375" customWidth="1"/>
    <col min="8194" max="8194" width="8.5703125" customWidth="1"/>
    <col min="8449" max="8449" width="5.7109375" customWidth="1"/>
    <col min="8450" max="8450" width="8.5703125" customWidth="1"/>
    <col min="8705" max="8705" width="5.7109375" customWidth="1"/>
    <col min="8706" max="8706" width="8.5703125" customWidth="1"/>
    <col min="8961" max="8961" width="5.7109375" customWidth="1"/>
    <col min="8962" max="8962" width="8.5703125" customWidth="1"/>
    <col min="9217" max="9217" width="5.7109375" customWidth="1"/>
    <col min="9218" max="9218" width="8.5703125" customWidth="1"/>
    <col min="9473" max="9473" width="5.7109375" customWidth="1"/>
    <col min="9474" max="9474" width="8.5703125" customWidth="1"/>
    <col min="9729" max="9729" width="5.7109375" customWidth="1"/>
    <col min="9730" max="9730" width="8.5703125" customWidth="1"/>
    <col min="9985" max="9985" width="5.7109375" customWidth="1"/>
    <col min="9986" max="9986" width="8.5703125" customWidth="1"/>
    <col min="10241" max="10241" width="5.7109375" customWidth="1"/>
    <col min="10242" max="10242" width="8.5703125" customWidth="1"/>
    <col min="10497" max="10497" width="5.7109375" customWidth="1"/>
    <col min="10498" max="10498" width="8.5703125" customWidth="1"/>
    <col min="10753" max="10753" width="5.7109375" customWidth="1"/>
    <col min="10754" max="10754" width="8.5703125" customWidth="1"/>
    <col min="11009" max="11009" width="5.7109375" customWidth="1"/>
    <col min="11010" max="11010" width="8.5703125" customWidth="1"/>
    <col min="11265" max="11265" width="5.7109375" customWidth="1"/>
    <col min="11266" max="11266" width="8.5703125" customWidth="1"/>
    <col min="11521" max="11521" width="5.7109375" customWidth="1"/>
    <col min="11522" max="11522" width="8.5703125" customWidth="1"/>
    <col min="11777" max="11777" width="5.7109375" customWidth="1"/>
    <col min="11778" max="11778" width="8.5703125" customWidth="1"/>
    <col min="12033" max="12033" width="5.7109375" customWidth="1"/>
    <col min="12034" max="12034" width="8.5703125" customWidth="1"/>
    <col min="12289" max="12289" width="5.7109375" customWidth="1"/>
    <col min="12290" max="12290" width="8.5703125" customWidth="1"/>
    <col min="12545" max="12545" width="5.7109375" customWidth="1"/>
    <col min="12546" max="12546" width="8.5703125" customWidth="1"/>
    <col min="12801" max="12801" width="5.7109375" customWidth="1"/>
    <col min="12802" max="12802" width="8.5703125" customWidth="1"/>
    <col min="13057" max="13057" width="5.7109375" customWidth="1"/>
    <col min="13058" max="13058" width="8.5703125" customWidth="1"/>
    <col min="13313" max="13313" width="5.7109375" customWidth="1"/>
    <col min="13314" max="13314" width="8.5703125" customWidth="1"/>
    <col min="13569" max="13569" width="5.7109375" customWidth="1"/>
    <col min="13570" max="13570" width="8.5703125" customWidth="1"/>
    <col min="13825" max="13825" width="5.7109375" customWidth="1"/>
    <col min="13826" max="13826" width="8.5703125" customWidth="1"/>
    <col min="14081" max="14081" width="5.7109375" customWidth="1"/>
    <col min="14082" max="14082" width="8.5703125" customWidth="1"/>
    <col min="14337" max="14337" width="5.7109375" customWidth="1"/>
    <col min="14338" max="14338" width="8.5703125" customWidth="1"/>
    <col min="14593" max="14593" width="5.7109375" customWidth="1"/>
    <col min="14594" max="14594" width="8.5703125" customWidth="1"/>
    <col min="14849" max="14849" width="5.7109375" customWidth="1"/>
    <col min="14850" max="14850" width="8.5703125" customWidth="1"/>
    <col min="15105" max="15105" width="5.7109375" customWidth="1"/>
    <col min="15106" max="15106" width="8.5703125" customWidth="1"/>
    <col min="15361" max="15361" width="5.7109375" customWidth="1"/>
    <col min="15362" max="15362" width="8.5703125" customWidth="1"/>
    <col min="15617" max="15617" width="5.7109375" customWidth="1"/>
    <col min="15618" max="15618" width="8.5703125" customWidth="1"/>
    <col min="15873" max="15873" width="5.7109375" customWidth="1"/>
    <col min="15874" max="15874" width="8.5703125" customWidth="1"/>
    <col min="16129" max="16129" width="5.7109375" customWidth="1"/>
    <col min="16130" max="16130" width="8.5703125" customWidth="1"/>
  </cols>
  <sheetData>
    <row r="1" spans="1:8" ht="30">
      <c r="A1" s="38" t="s">
        <v>89</v>
      </c>
      <c r="B1" s="38" t="s">
        <v>90</v>
      </c>
      <c r="C1" s="39"/>
      <c r="D1" s="40"/>
      <c r="E1" s="40"/>
      <c r="F1" s="40"/>
      <c r="G1" s="40"/>
    </row>
    <row r="2" spans="1:8">
      <c r="A2" s="41">
        <v>2</v>
      </c>
      <c r="B2" s="42">
        <f>1+WACC</f>
        <v>1.1419999999999999</v>
      </c>
      <c r="C2" s="40"/>
      <c r="D2" s="40"/>
      <c r="E2" s="40"/>
      <c r="F2" s="40"/>
      <c r="G2" s="40"/>
    </row>
    <row r="3" spans="1:8">
      <c r="A3" s="41">
        <v>3</v>
      </c>
      <c r="B3" s="42">
        <f>(WACC*(1-1/(9*(1+WACC)^2)))/(1-1/(1+WACC)^2)</f>
        <v>0.55698080713766984</v>
      </c>
      <c r="C3" s="40"/>
      <c r="D3" s="40"/>
      <c r="E3" s="40"/>
      <c r="F3" s="40"/>
      <c r="G3" s="40"/>
      <c r="H3" s="40"/>
    </row>
    <row r="4" spans="1:8">
      <c r="A4" s="41">
        <v>4</v>
      </c>
      <c r="B4" s="42">
        <f>(WACC*(1-1/(8*(1+WACC)^3)))/(1-1/(1+WACC)^3)</f>
        <v>0.39590550188557477</v>
      </c>
      <c r="C4" s="40"/>
      <c r="D4" s="40"/>
      <c r="E4" s="40"/>
      <c r="F4" s="40"/>
      <c r="G4" s="40"/>
    </row>
    <row r="5" spans="1:8">
      <c r="A5" s="41">
        <v>5</v>
      </c>
      <c r="B5" s="42">
        <f>(WACC*(1-27/(250*(1+WACC)^4)))/(1-1/(1+WACC)^4)</f>
        <v>0.32273072922007806</v>
      </c>
      <c r="C5" s="40"/>
      <c r="D5" s="40"/>
      <c r="E5" s="40"/>
      <c r="F5" s="40"/>
      <c r="G5" s="40"/>
    </row>
    <row r="6" spans="1:8">
      <c r="A6" s="41">
        <v>6</v>
      </c>
      <c r="B6" s="42">
        <f>(WACC*(1-8/(81*(1+WACC)^5)))/(1-1/(1+WACC)^5)</f>
        <v>0.27780248160757504</v>
      </c>
    </row>
    <row r="7" spans="1:8">
      <c r="A7" s="41">
        <v>7</v>
      </c>
      <c r="B7" s="42">
        <f>(WACC*(1-1250/(7203*(1+WACC)^5)))/(1-1/(1+WACC)^5)</f>
        <v>0.26653526025838059</v>
      </c>
      <c r="C7" s="39"/>
      <c r="D7" s="40"/>
      <c r="E7" s="40"/>
      <c r="F7" s="40"/>
      <c r="G7" s="40"/>
    </row>
    <row r="8" spans="1:8">
      <c r="A8" s="41">
        <v>8</v>
      </c>
      <c r="B8" s="42">
        <f>(WACC*(1-243/(1024*(1+WACC)^5)))/(1-1/(1+WACC)^5)</f>
        <v>0.25692670147924879</v>
      </c>
      <c r="C8" s="40"/>
      <c r="D8" s="40"/>
      <c r="E8" s="40"/>
      <c r="F8" s="40"/>
      <c r="G8" s="40"/>
    </row>
    <row r="9" spans="1:8">
      <c r="A9" s="41">
        <v>9</v>
      </c>
      <c r="B9" s="42">
        <f>(WACC*(1-16807/(59049*(1+WACC)^5)))/(1-1/(1+WACC)^5)</f>
        <v>0.24979578758793591</v>
      </c>
      <c r="C9" s="40"/>
      <c r="D9" s="40"/>
      <c r="E9" s="40"/>
      <c r="F9" s="40"/>
      <c r="G9" s="40"/>
    </row>
    <row r="10" spans="1:8">
      <c r="A10" s="41">
        <v>10</v>
      </c>
      <c r="B10" s="42">
        <f>(WACC*(1-1024/(3125*(1+WACC)^5)))/(1-1/(1+WACC)^5)</f>
        <v>0.24330850245461358</v>
      </c>
      <c r="C10" s="40"/>
      <c r="D10" s="40"/>
      <c r="E10" s="40"/>
      <c r="F10" s="40"/>
      <c r="G10" s="40"/>
    </row>
    <row r="11" spans="1:8">
      <c r="A11" s="41">
        <v>11</v>
      </c>
      <c r="B11" s="42">
        <f>(WACC*(1-59049/(161051*(1+WACC)^5)))/(1-1/(1+WACC)^5)</f>
        <v>0.23743663681144869</v>
      </c>
      <c r="C11" s="40"/>
      <c r="D11" s="40"/>
      <c r="E11" s="40"/>
      <c r="F11" s="40"/>
      <c r="G11" s="40"/>
    </row>
    <row r="12" spans="1:8">
      <c r="A12" s="41">
        <v>12</v>
      </c>
      <c r="B12" s="42">
        <f>(WACC*(1-3125/(7776*(1+WACC)^5)))/(1-1/(1+WACC)^5)</f>
        <v>0.23212804537055245</v>
      </c>
    </row>
    <row r="13" spans="1:8">
      <c r="A13" s="41">
        <v>13</v>
      </c>
      <c r="B13" s="42">
        <f>(WACC*(1-161051/(371293*(1+WACC)^5)))/(1-1/(1+WACC)^5)</f>
        <v>0.22732427026446983</v>
      </c>
    </row>
    <row r="14" spans="1:8">
      <c r="A14" s="41">
        <v>14</v>
      </c>
      <c r="B14" s="42">
        <f>(WACC*(1-7776/(16807*(1+WACC)^5)))/(1-1/(1+WACC)^5)</f>
        <v>0.2229683906357012</v>
      </c>
    </row>
    <row r="15" spans="1:8">
      <c r="A15" s="41">
        <v>15</v>
      </c>
      <c r="B15" s="42">
        <f>(WACC*(1-371293/(759375*(1+WACC)^5)))/(1-1/(1+WACC)^5)</f>
        <v>0.21900821723065708</v>
      </c>
    </row>
    <row r="16" spans="1:8">
      <c r="A16" s="41">
        <v>16</v>
      </c>
      <c r="B16" s="42">
        <f>(WACC*(1-16807/(32768*(1+WACC)^5)))/(1-1/(1+WACC)^5)</f>
        <v>0.21539729042534769</v>
      </c>
    </row>
    <row r="17" spans="1:2">
      <c r="A17" s="41">
        <v>17</v>
      </c>
      <c r="B17" s="42">
        <f>(WACC*(1-759375/(1419857*(1+WACC)^5)))/(1-1/(1+WACC)^5)</f>
        <v>0.21209487157623255</v>
      </c>
    </row>
    <row r="18" spans="1:2">
      <c r="A18" s="41">
        <v>18</v>
      </c>
      <c r="B18" s="42">
        <f>(WACC*(1-32768/(59049*(1+WACC)^5)))/(1-1/(1+WACC)^5)</f>
        <v>0.20906550574306479</v>
      </c>
    </row>
    <row r="19" spans="1:2">
      <c r="A19" s="41">
        <v>19</v>
      </c>
      <c r="B19" s="42">
        <f>(WACC*(1-1419857/(2476099*(1+WACC)^5)))/(1-1/(1+WACC)^5)</f>
        <v>0.20627843476432361</v>
      </c>
    </row>
    <row r="20" spans="1:2">
      <c r="A20" s="41">
        <v>20</v>
      </c>
      <c r="B20" s="42">
        <f>(WACC*(1-59049/(100000*(1+WACC)^5)))/(1-1/(1+WACC)^5)</f>
        <v>0.20370699196839129</v>
      </c>
    </row>
    <row r="21" spans="1:2">
      <c r="A21" s="41">
        <v>21</v>
      </c>
      <c r="B21" s="42">
        <f>(WACC*(1-2476099/(4084101*(1+WACC)^5)))/(1-1/(1+WACC)^5)</f>
        <v>0.20132803657041787</v>
      </c>
    </row>
    <row r="22" spans="1:2">
      <c r="A22" s="41">
        <v>22</v>
      </c>
      <c r="B22" s="42">
        <f>(WACC*(1-100000/(161051*(1+WACC)^5)))/(1-1/(1+WACC)^5)</f>
        <v>0.19912144971643453</v>
      </c>
    </row>
    <row r="23" spans="1:2">
      <c r="A23" s="41">
        <v>23</v>
      </c>
      <c r="B23" s="42">
        <f>(WACC*(1-4084101/(6436343*(1+WACC)^5)))/(1-1/(1+WACC)^5)</f>
        <v>0.19706969675313052</v>
      </c>
    </row>
    <row r="24" spans="1:2">
      <c r="A24" s="41">
        <v>24</v>
      </c>
      <c r="B24" s="42">
        <f>(WACC*(1-161051/(248832*(1+WACC)^5)))/(1-1/(1+WACC)^5)</f>
        <v>0.19515745236691348</v>
      </c>
    </row>
    <row r="25" spans="1:2">
      <c r="A25" s="41">
        <v>25</v>
      </c>
      <c r="B25" s="42">
        <f>(WACC*(1-6436343/(9765625*(1+WACC)^5)))/(1-1/(1+WACC)^5)</f>
        <v>0.19337128204384213</v>
      </c>
    </row>
    <row r="26" spans="1:2">
      <c r="A26" s="41">
        <v>26</v>
      </c>
      <c r="B26" s="42">
        <f>(WACC*(1-248832/(371293*(1+WACC)^5)))/(1-1/(1+WACC)^5)</f>
        <v>0.19169937244155419</v>
      </c>
    </row>
    <row r="27" spans="1:2">
      <c r="A27" s="41">
        <v>27</v>
      </c>
      <c r="B27" s="42">
        <f>(WACC*(1-9765625/(14348907*(1+WACC)^5)))/(1-1/(1+WACC)^5)</f>
        <v>0.19013130349736856</v>
      </c>
    </row>
    <row r="28" spans="1:2">
      <c r="A28" s="41">
        <v>28</v>
      </c>
      <c r="B28" s="42">
        <f>(WACC*(1-371293/(537824*(1+WACC)^5)))/(1-1/(1+WACC)^5)</f>
        <v>0.18865785579169653</v>
      </c>
    </row>
    <row r="29" spans="1:2">
      <c r="A29" s="41">
        <v>29</v>
      </c>
      <c r="B29" s="42">
        <f>(WACC*(1-14348907/(20511149*(1+WACC)^5)))/(1-1/(1+WACC)^5)</f>
        <v>0.1872708475266342</v>
      </c>
    </row>
    <row r="30" spans="1:2">
      <c r="A30" s="41">
        <v>30</v>
      </c>
      <c r="B30" s="42">
        <f>(WACC*(1-537824/(759375*(1+WACC)^5)))/(1-1/(1+WACC)^5)</f>
        <v>0.18596299631435961</v>
      </c>
    </row>
    <row r="31" spans="1:2">
      <c r="A31" s="41">
        <v>31</v>
      </c>
      <c r="B31" s="42">
        <f>(WACC*(1-20511149/(28629151*(1+WACC)^5)))/(1-1/(1+WACC)^5)</f>
        <v>0.18472780173201012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K19"/>
  <sheetViews>
    <sheetView workbookViewId="0">
      <selection activeCell="F8" sqref="F8"/>
    </sheetView>
  </sheetViews>
  <sheetFormatPr baseColWidth="10" defaultRowHeight="15"/>
  <cols>
    <col min="2" max="2" width="26.140625" customWidth="1"/>
    <col min="3" max="3" width="11.85546875" bestFit="1" customWidth="1"/>
    <col min="4" max="4" width="15.42578125" bestFit="1" customWidth="1"/>
    <col min="6" max="6" width="13" customWidth="1"/>
    <col min="7" max="7" width="11.5703125" bestFit="1" customWidth="1"/>
    <col min="13" max="13" width="12.7109375" bestFit="1" customWidth="1"/>
    <col min="16" max="16" width="11.7109375" bestFit="1" customWidth="1"/>
  </cols>
  <sheetData>
    <row r="2" spans="1:11">
      <c r="A2" s="221" t="s">
        <v>209</v>
      </c>
      <c r="B2" s="221" t="s">
        <v>207</v>
      </c>
      <c r="F2" s="219"/>
      <c r="G2" s="219" t="s">
        <v>186</v>
      </c>
      <c r="I2" t="s">
        <v>184</v>
      </c>
      <c r="J2">
        <v>31</v>
      </c>
    </row>
    <row r="3" spans="1:11">
      <c r="A3" s="219" t="s">
        <v>164</v>
      </c>
      <c r="B3" s="370">
        <v>0.1</v>
      </c>
      <c r="C3" s="388"/>
      <c r="F3" s="219" t="s">
        <v>206</v>
      </c>
      <c r="G3" s="371">
        <v>60</v>
      </c>
    </row>
    <row r="4" spans="1:11">
      <c r="A4" s="219" t="s">
        <v>208</v>
      </c>
      <c r="B4" s="370">
        <v>0.08</v>
      </c>
      <c r="C4" s="294"/>
      <c r="F4" s="219" t="s">
        <v>164</v>
      </c>
      <c r="G4" s="371">
        <v>50</v>
      </c>
    </row>
    <row r="5" spans="1:11">
      <c r="A5" s="219" t="s">
        <v>195</v>
      </c>
      <c r="B5" s="370">
        <v>7.0000000000000007E-2</v>
      </c>
      <c r="C5" s="294"/>
    </row>
    <row r="6" spans="1:11">
      <c r="F6" s="293" t="s">
        <v>217</v>
      </c>
      <c r="G6" s="293" t="s">
        <v>218</v>
      </c>
    </row>
    <row r="7" spans="1:11">
      <c r="E7" s="292" t="s">
        <v>219</v>
      </c>
      <c r="F7" s="372">
        <v>1.5</v>
      </c>
      <c r="G7" s="372">
        <v>1.5</v>
      </c>
    </row>
    <row r="9" spans="1:11">
      <c r="A9" s="222" t="s">
        <v>91</v>
      </c>
      <c r="B9" s="222" t="s">
        <v>209</v>
      </c>
      <c r="C9" s="222" t="s">
        <v>187</v>
      </c>
      <c r="D9" s="222" t="s">
        <v>210</v>
      </c>
      <c r="E9" s="222" t="s">
        <v>183</v>
      </c>
      <c r="F9" s="222" t="s">
        <v>185</v>
      </c>
      <c r="G9" s="222" t="s">
        <v>188</v>
      </c>
      <c r="H9" s="222" t="s">
        <v>220</v>
      </c>
      <c r="I9" s="222" t="s">
        <v>182</v>
      </c>
      <c r="J9" s="222" t="s">
        <v>211</v>
      </c>
    </row>
    <row r="10" spans="1:11">
      <c r="A10" s="219" t="s">
        <v>206</v>
      </c>
      <c r="B10" s="219" t="s">
        <v>208</v>
      </c>
      <c r="C10" s="220">
        <f t="shared" ref="C10:C12" si="0">VLOOKUP($B10,$A$3:$B$5,2,FALSE)</f>
        <v>0.08</v>
      </c>
      <c r="D10" s="223">
        <f>'Tráficos Totales'!N18+'Tráficos Totales'!N19+'Tráficos Totales'!N30+'Tráficos Totales'!N31+'Tráficos Totales'!N36+'Tráficos Totales'!N37</f>
        <v>114491803.27868854</v>
      </c>
      <c r="E10" s="224">
        <f>D10/$J$2</f>
        <v>3693283.976731888</v>
      </c>
      <c r="F10" s="224">
        <f>E10*$C10</f>
        <v>295462.71813855105</v>
      </c>
      <c r="G10" s="224">
        <f>F10/G3*60</f>
        <v>295462.71813855105</v>
      </c>
      <c r="H10" s="291">
        <f>G10*$F$7</f>
        <v>443194.07720782654</v>
      </c>
      <c r="I10" s="209">
        <f>H10/3600</f>
        <v>123.10946589106292</v>
      </c>
      <c r="J10" s="225">
        <f>H10/SUM($H$10:$H$14)</f>
        <v>1.2081116521120486E-2</v>
      </c>
    </row>
    <row r="11" spans="1:11">
      <c r="A11" s="219" t="s">
        <v>164</v>
      </c>
      <c r="B11" s="219" t="s">
        <v>164</v>
      </c>
      <c r="C11" s="220">
        <f t="shared" si="0"/>
        <v>0.1</v>
      </c>
      <c r="D11" s="223">
        <f>'Tráficos Totales'!N12+'Tráficos Totales'!N13</f>
        <v>6240000000</v>
      </c>
      <c r="E11" s="224">
        <f>D11/$J$2</f>
        <v>201290322.58064517</v>
      </c>
      <c r="F11" s="224">
        <f>E11*$C11</f>
        <v>20129032.25806452</v>
      </c>
      <c r="G11" s="224">
        <f>F11/G4*60</f>
        <v>24154838.709677424</v>
      </c>
      <c r="H11" s="291">
        <f>G11*G7</f>
        <v>36232258.064516135</v>
      </c>
      <c r="I11" s="209">
        <f>H11/3600</f>
        <v>10064.516129032259</v>
      </c>
      <c r="J11" s="225">
        <f t="shared" ref="J11:J14" si="1">H11/SUM($H$10:$H$14)</f>
        <v>0.98766241249985021</v>
      </c>
    </row>
    <row r="12" spans="1:11">
      <c r="A12" s="219" t="s">
        <v>97</v>
      </c>
      <c r="B12" s="219" t="s">
        <v>195</v>
      </c>
      <c r="C12" s="220">
        <f t="shared" si="0"/>
        <v>7.0000000000000007E-2</v>
      </c>
      <c r="D12" s="223">
        <f>'Tráficos Totales'!N51</f>
        <v>3333333.333333333</v>
      </c>
      <c r="E12" s="224">
        <f>D12/$J$2</f>
        <v>107526.8817204301</v>
      </c>
      <c r="F12" s="224">
        <f>E12*$C12</f>
        <v>7526.8817204301076</v>
      </c>
      <c r="G12" s="224">
        <f>F12</f>
        <v>7526.8817204301076</v>
      </c>
      <c r="H12" s="224">
        <f>G12*1</f>
        <v>7526.8817204301076</v>
      </c>
      <c r="I12" s="209">
        <f>H12/3600</f>
        <v>2.0908004778972522</v>
      </c>
      <c r="J12" s="225">
        <f t="shared" si="1"/>
        <v>2.0517678322349686E-4</v>
      </c>
    </row>
    <row r="13" spans="1:11">
      <c r="A13" s="219" t="s">
        <v>105</v>
      </c>
      <c r="B13" s="219" t="s">
        <v>195</v>
      </c>
      <c r="C13" s="220">
        <f>VLOOKUP($B13,$A$3:$B$5,2,FALSE)</f>
        <v>7.0000000000000007E-2</v>
      </c>
      <c r="D13" s="223">
        <f>'Tráficos Totales'!N58</f>
        <v>666666.66666666663</v>
      </c>
      <c r="E13" s="224">
        <f>D13/$J$2</f>
        <v>21505.37634408602</v>
      </c>
      <c r="F13" s="224">
        <f>E13*$C13</f>
        <v>1505.3763440860216</v>
      </c>
      <c r="G13" s="224">
        <f>F13</f>
        <v>1505.3763440860216</v>
      </c>
      <c r="H13" s="224">
        <f>G13*1</f>
        <v>1505.3763440860216</v>
      </c>
      <c r="I13" s="209">
        <f>H13/3600</f>
        <v>0.41816009557945044</v>
      </c>
      <c r="J13" s="225">
        <f t="shared" si="1"/>
        <v>4.1035356644699371E-5</v>
      </c>
    </row>
    <row r="14" spans="1:11">
      <c r="A14" s="219" t="s">
        <v>117</v>
      </c>
      <c r="B14" s="219" t="s">
        <v>195</v>
      </c>
      <c r="C14" s="220">
        <f>VLOOKUP($B14,$A$3:$B$5,2,FALSE)</f>
        <v>7.0000000000000007E-2</v>
      </c>
      <c r="D14" s="223">
        <f>'Tráfico Servicios'!D10/6</f>
        <v>166666.66666666666</v>
      </c>
      <c r="E14" s="224">
        <f>D14/$J$2</f>
        <v>5376.3440860215051</v>
      </c>
      <c r="F14" s="224">
        <f>E14*$C14</f>
        <v>376.3440860215054</v>
      </c>
      <c r="G14" s="224">
        <f>F14</f>
        <v>376.3440860215054</v>
      </c>
      <c r="H14" s="224">
        <f>G14*1</f>
        <v>376.3440860215054</v>
      </c>
      <c r="I14" s="209">
        <f>H14/3600</f>
        <v>0.10454002389486261</v>
      </c>
      <c r="J14" s="225">
        <f t="shared" si="1"/>
        <v>1.0258839161174843E-5</v>
      </c>
    </row>
    <row r="15" spans="1:11">
      <c r="I15" s="52"/>
      <c r="K15" s="40"/>
    </row>
    <row r="17" spans="6:6">
      <c r="F17" s="40"/>
    </row>
    <row r="19" spans="6:6">
      <c r="F19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INICIO</vt:lpstr>
      <vt:lpstr>RESULTADOS</vt:lpstr>
      <vt:lpstr>Datos</vt:lpstr>
      <vt:lpstr>CAPEX 3G</vt:lpstr>
      <vt:lpstr>OPEX 3G</vt:lpstr>
      <vt:lpstr>OPEX Tarjetas</vt:lpstr>
      <vt:lpstr>Cargo Tope 3G</vt:lpstr>
      <vt:lpstr>Anualización</vt:lpstr>
      <vt:lpstr>Tráficos HP</vt:lpstr>
      <vt:lpstr>Tarjetas</vt:lpstr>
      <vt:lpstr>Tráfico Servicios</vt:lpstr>
      <vt:lpstr>Tráficos Totales</vt:lpstr>
      <vt:lpstr>Traf 2009 Local</vt:lpstr>
      <vt:lpstr>ANUALIZACION</vt:lpstr>
      <vt:lpstr>CAPEX</vt:lpstr>
      <vt:lpstr>Factores_Anualización</vt:lpstr>
      <vt:lpstr>overhead</vt:lpstr>
      <vt:lpstr>PCT_PREPAGO</vt:lpstr>
      <vt:lpstr>PCT_TARJETAS_VOZ</vt:lpstr>
      <vt:lpstr>PERIODO_DEPRECIACION</vt:lpstr>
      <vt:lpstr>Tipo_Cambio</vt:lpstr>
      <vt:lpstr>Traf_Plataforma</vt:lpstr>
      <vt:lpstr>Traf_Tarjetas</vt:lpstr>
      <vt:lpstr>WACC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2011-01-18T20:10:13Z</dcterms:created>
  <dcterms:modified xsi:type="dcterms:W3CDTF">2011-01-20T20:45:45Z</dcterms:modified>
</cp:coreProperties>
</file>