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delgadoc\Desktop\"/>
    </mc:Choice>
  </mc:AlternateContent>
  <bookViews>
    <workbookView xWindow="0" yWindow="0" windowWidth="28800" windowHeight="12135" tabRatio="743"/>
  </bookViews>
  <sheets>
    <sheet name="Luz LIMA y CO" sheetId="41" r:id="rId1"/>
    <sheet name="AGUA Lima y CO" sheetId="42" r:id="rId2"/>
    <sheet name="Luz OD" sheetId="38" r:id="rId3"/>
    <sheet name="Agua OD" sheetId="37" r:id="rId4"/>
  </sheets>
  <calcPr calcId="152511"/>
</workbook>
</file>

<file path=xl/calcChain.xml><?xml version="1.0" encoding="utf-8"?>
<calcChain xmlns="http://schemas.openxmlformats.org/spreadsheetml/2006/main">
  <c r="I62" i="41" l="1"/>
  <c r="I64" i="41"/>
  <c r="H67" i="41"/>
  <c r="I67" i="41" s="1"/>
  <c r="I58" i="41" l="1"/>
  <c r="I63" i="41"/>
  <c r="I53" i="41"/>
  <c r="G69" i="41"/>
  <c r="F69" i="41"/>
  <c r="E69" i="41"/>
  <c r="G59" i="41"/>
  <c r="F59" i="41"/>
  <c r="E59" i="41"/>
  <c r="H60" i="41"/>
  <c r="I60" i="41" s="1"/>
  <c r="G65" i="42"/>
  <c r="G53" i="42"/>
  <c r="G63" i="42"/>
  <c r="G58" i="42"/>
  <c r="G71" i="42"/>
  <c r="G72" i="42"/>
  <c r="G70" i="42"/>
  <c r="G59" i="42"/>
  <c r="G60" i="42"/>
  <c r="G61" i="42"/>
  <c r="G62" i="42"/>
  <c r="G64" i="42"/>
  <c r="G66" i="42"/>
  <c r="G67" i="42"/>
  <c r="F64" i="42"/>
  <c r="E64" i="42"/>
  <c r="F59" i="42"/>
  <c r="E59" i="42"/>
  <c r="G54" i="42"/>
  <c r="F54" i="42"/>
  <c r="E54" i="42"/>
  <c r="I54" i="41" l="1"/>
  <c r="H56" i="41"/>
  <c r="H57" i="41"/>
  <c r="H59" i="41"/>
  <c r="I59" i="41" s="1"/>
  <c r="H61" i="41"/>
  <c r="Y64" i="38"/>
  <c r="Y44" i="38"/>
  <c r="Y43" i="38"/>
  <c r="G23" i="38"/>
  <c r="G22" i="38"/>
  <c r="G21" i="38"/>
  <c r="M23" i="38"/>
  <c r="G84" i="38"/>
  <c r="M85" i="38"/>
  <c r="M84" i="38"/>
  <c r="M83" i="38"/>
  <c r="X104" i="38"/>
  <c r="Y104" i="38" s="1"/>
  <c r="W104" i="38"/>
  <c r="Y103" i="38"/>
  <c r="Y102" i="38"/>
  <c r="M105" i="38"/>
  <c r="M104" i="38"/>
  <c r="M103" i="38"/>
  <c r="M125" i="38"/>
  <c r="M124" i="38"/>
  <c r="M123" i="38"/>
  <c r="Y80" i="37"/>
  <c r="Y81" i="37"/>
  <c r="Y79" i="37"/>
  <c r="S62" i="37"/>
  <c r="S61" i="37"/>
  <c r="G122" i="37"/>
  <c r="G123" i="37"/>
  <c r="G121" i="37"/>
  <c r="G120" i="37"/>
  <c r="Y101" i="37"/>
  <c r="W100" i="37"/>
  <c r="Y100" i="37" s="1"/>
  <c r="S82" i="37"/>
  <c r="S81" i="37"/>
  <c r="S80" i="37"/>
  <c r="Y60" i="37"/>
  <c r="Y61" i="37"/>
  <c r="Y62" i="37"/>
  <c r="S60" i="37"/>
  <c r="G60" i="37"/>
  <c r="G61" i="37"/>
  <c r="G62" i="37"/>
  <c r="Y40" i="37"/>
  <c r="Y39" i="37"/>
  <c r="S40" i="37"/>
  <c r="S39" i="37"/>
  <c r="G39" i="37"/>
  <c r="G40" i="37"/>
  <c r="F40" i="37"/>
  <c r="E40" i="37"/>
  <c r="F39" i="37"/>
  <c r="E39" i="37"/>
  <c r="Y20" i="37"/>
  <c r="X20" i="37"/>
  <c r="W20" i="37"/>
  <c r="Y19" i="37"/>
  <c r="X19" i="37"/>
  <c r="W19" i="37"/>
  <c r="Y17" i="37"/>
  <c r="Y18" i="37"/>
  <c r="X18" i="37"/>
  <c r="W18" i="37"/>
  <c r="S20" i="37"/>
  <c r="S21" i="37"/>
  <c r="S19" i="37"/>
  <c r="M39" i="37"/>
  <c r="M40" i="37"/>
  <c r="M41" i="37"/>
  <c r="S18" i="37"/>
  <c r="G19" i="37"/>
  <c r="G20" i="37"/>
  <c r="G21" i="37"/>
  <c r="Y112" i="37"/>
  <c r="Y113" i="37"/>
  <c r="Y114" i="37"/>
  <c r="Y115" i="37"/>
  <c r="Y116" i="37"/>
  <c r="Y117" i="37"/>
  <c r="Y118" i="37"/>
  <c r="Y119" i="37"/>
  <c r="Y120" i="37"/>
  <c r="Y121" i="37"/>
  <c r="Y122" i="37"/>
  <c r="S122" i="37"/>
  <c r="S120" i="37"/>
  <c r="S121" i="37"/>
  <c r="M120" i="37"/>
  <c r="M121" i="37"/>
  <c r="M122" i="37"/>
  <c r="G80" i="37"/>
  <c r="G81" i="37"/>
  <c r="G82" i="37"/>
  <c r="Y62" i="38"/>
  <c r="Y124" i="38"/>
  <c r="Y123" i="38"/>
  <c r="S124" i="38"/>
  <c r="S123" i="38"/>
  <c r="G125" i="38"/>
  <c r="G124" i="38"/>
  <c r="G123" i="38"/>
  <c r="S104" i="38"/>
  <c r="S103" i="38"/>
  <c r="G105" i="38"/>
  <c r="G104" i="38"/>
  <c r="G103" i="38"/>
  <c r="Y84" i="38"/>
  <c r="Y83" i="38"/>
  <c r="S84" i="38"/>
  <c r="S83" i="38"/>
  <c r="Y82" i="38"/>
  <c r="Y81" i="38"/>
  <c r="Y80" i="38"/>
  <c r="G83" i="38"/>
  <c r="Y63" i="38"/>
  <c r="S62" i="38"/>
  <c r="S64" i="38"/>
  <c r="S65" i="38"/>
  <c r="S63" i="38"/>
  <c r="M63" i="38"/>
  <c r="M64" i="38"/>
  <c r="M65" i="38"/>
  <c r="G64" i="38"/>
  <c r="G63" i="38"/>
  <c r="Y42" i="38"/>
  <c r="Y41" i="38"/>
  <c r="Y40" i="38"/>
  <c r="S44" i="38"/>
  <c r="S43" i="38"/>
  <c r="M44" i="38"/>
  <c r="M43" i="38"/>
  <c r="G44" i="38"/>
  <c r="F44" i="38"/>
  <c r="E44" i="38"/>
  <c r="G43" i="38"/>
  <c r="F43" i="38"/>
  <c r="E43" i="38"/>
  <c r="Y23" i="38"/>
  <c r="X23" i="38"/>
  <c r="W23" i="38"/>
  <c r="W22" i="38"/>
  <c r="Y22" i="38"/>
  <c r="X22" i="38"/>
  <c r="Y21" i="38"/>
  <c r="W21" i="38"/>
  <c r="W20" i="38"/>
  <c r="X21" i="38"/>
  <c r="S23" i="38"/>
  <c r="S22" i="38"/>
  <c r="M22" i="38"/>
  <c r="O45" i="42"/>
  <c r="O48" i="42"/>
  <c r="O42" i="42"/>
  <c r="O47" i="42"/>
  <c r="O46" i="42"/>
  <c r="O44" i="42"/>
  <c r="I61" i="41"/>
  <c r="I65" i="41"/>
  <c r="I66" i="41"/>
  <c r="I69" i="41"/>
  <c r="I71" i="41"/>
  <c r="H65" i="41"/>
  <c r="H66" i="41"/>
  <c r="H69" i="41"/>
  <c r="H70" i="41"/>
  <c r="I70" i="41" s="1"/>
  <c r="H71" i="41"/>
  <c r="H72" i="41"/>
  <c r="I72" i="41" s="1"/>
  <c r="O22" i="42"/>
  <c r="O23" i="42"/>
  <c r="O24" i="42"/>
  <c r="R24" i="41" l="1"/>
  <c r="Q23" i="41"/>
  <c r="R23" i="41" s="1"/>
  <c r="Q24" i="41"/>
  <c r="Q22" i="41"/>
  <c r="R22" i="41"/>
  <c r="R50" i="41"/>
  <c r="R51" i="41"/>
  <c r="R52" i="41"/>
  <c r="Q52" i="41"/>
  <c r="Q51" i="41"/>
  <c r="Q50" i="41"/>
  <c r="N52" i="41"/>
  <c r="N51" i="41"/>
  <c r="N50" i="41"/>
  <c r="AR56" i="41"/>
  <c r="AE56" i="41"/>
  <c r="S119" i="37" l="1"/>
  <c r="S118" i="37"/>
  <c r="S117" i="37"/>
  <c r="G119" i="37"/>
  <c r="G118" i="37"/>
  <c r="G117" i="37"/>
  <c r="Y77" i="37"/>
  <c r="Y78" i="37"/>
  <c r="Y76" i="37"/>
  <c r="Y74" i="37"/>
  <c r="Y75" i="37"/>
  <c r="S59" i="37"/>
  <c r="S58" i="37"/>
  <c r="S57" i="37"/>
  <c r="Y59" i="37"/>
  <c r="Y38" i="37"/>
  <c r="Y37" i="37"/>
  <c r="Y36" i="37"/>
  <c r="S38" i="37"/>
  <c r="S37" i="37"/>
  <c r="S36" i="37"/>
  <c r="G38" i="37"/>
  <c r="F38" i="37"/>
  <c r="E38" i="37"/>
  <c r="G37" i="37"/>
  <c r="F36" i="37"/>
  <c r="E36" i="37"/>
  <c r="G36" i="37" s="1"/>
  <c r="M38" i="37"/>
  <c r="W17" i="37"/>
  <c r="X17" i="37"/>
  <c r="X16" i="37"/>
  <c r="W16" i="37"/>
  <c r="Y16" i="37" s="1"/>
  <c r="S17" i="37"/>
  <c r="S16" i="37"/>
  <c r="G17" i="37"/>
  <c r="G18" i="37"/>
  <c r="G16" i="37"/>
  <c r="G15" i="37"/>
  <c r="M114" i="37"/>
  <c r="M115" i="37"/>
  <c r="M116" i="37"/>
  <c r="M117" i="37"/>
  <c r="M118" i="37"/>
  <c r="M119" i="37"/>
  <c r="S79" i="37"/>
  <c r="W97" i="37"/>
  <c r="Y97" i="37"/>
  <c r="W98" i="37"/>
  <c r="Y98" i="37" s="1"/>
  <c r="W99" i="37"/>
  <c r="Y99" i="37"/>
  <c r="S77" i="37"/>
  <c r="S78" i="37"/>
  <c r="G77" i="37"/>
  <c r="G78" i="37"/>
  <c r="G79" i="37"/>
  <c r="Y57" i="37"/>
  <c r="Y58" i="37"/>
  <c r="G57" i="37"/>
  <c r="G58" i="37"/>
  <c r="G59" i="37"/>
  <c r="M36" i="37"/>
  <c r="M37" i="37"/>
  <c r="Y122" i="38"/>
  <c r="Y121" i="38"/>
  <c r="Y120" i="38"/>
  <c r="S122" i="38"/>
  <c r="S121" i="38"/>
  <c r="S120" i="38"/>
  <c r="M122" i="38"/>
  <c r="M121" i="38"/>
  <c r="M120" i="38"/>
  <c r="M119" i="38"/>
  <c r="G122" i="38"/>
  <c r="G121" i="38"/>
  <c r="G120" i="38"/>
  <c r="Y100" i="38"/>
  <c r="Y101" i="38"/>
  <c r="S102" i="38"/>
  <c r="S101" i="38"/>
  <c r="S100" i="38"/>
  <c r="M102" i="38"/>
  <c r="M101" i="38"/>
  <c r="M100" i="38"/>
  <c r="G102" i="38"/>
  <c r="G101" i="38"/>
  <c r="G100" i="38"/>
  <c r="S82" i="38"/>
  <c r="S81" i="38"/>
  <c r="S80" i="38"/>
  <c r="M82" i="38"/>
  <c r="M81" i="38"/>
  <c r="M80" i="38"/>
  <c r="G77" i="38"/>
  <c r="G78" i="38"/>
  <c r="G79" i="38"/>
  <c r="G80" i="38"/>
  <c r="G81" i="38"/>
  <c r="G82" i="38"/>
  <c r="Y61" i="38"/>
  <c r="Y60" i="38"/>
  <c r="S61" i="38"/>
  <c r="S60" i="38"/>
  <c r="M62" i="38"/>
  <c r="M61" i="38"/>
  <c r="M60" i="38"/>
  <c r="G62" i="38"/>
  <c r="G61" i="38"/>
  <c r="G60" i="38"/>
  <c r="S42" i="38"/>
  <c r="S41" i="38"/>
  <c r="S40" i="38"/>
  <c r="M42" i="38"/>
  <c r="M41" i="38"/>
  <c r="M40" i="38"/>
  <c r="G40" i="38"/>
  <c r="F42" i="38"/>
  <c r="G42" i="38" s="1"/>
  <c r="E42" i="38"/>
  <c r="F41" i="38"/>
  <c r="G41" i="38" s="1"/>
  <c r="E41" i="38"/>
  <c r="F40" i="38"/>
  <c r="E40" i="38"/>
  <c r="Y19" i="38"/>
  <c r="Y20" i="38"/>
  <c r="X19" i="38"/>
  <c r="W19" i="38"/>
  <c r="S21" i="38"/>
  <c r="S20" i="38"/>
  <c r="S19" i="38"/>
  <c r="M21" i="38"/>
  <c r="M20" i="38"/>
  <c r="M19" i="38"/>
  <c r="G20" i="38"/>
  <c r="G18" i="38"/>
  <c r="G19" i="38"/>
  <c r="G47" i="42"/>
  <c r="G57" i="42"/>
  <c r="G52" i="42"/>
  <c r="G48" i="42"/>
  <c r="G33" i="42"/>
  <c r="G46" i="42"/>
  <c r="G50" i="42"/>
  <c r="G51" i="42"/>
  <c r="G55" i="42"/>
  <c r="G56" i="42"/>
  <c r="G45" i="42"/>
  <c r="G41" i="42"/>
  <c r="G42" i="42"/>
  <c r="G43" i="42"/>
  <c r="O43" i="42"/>
  <c r="O21" i="42"/>
  <c r="O19" i="42"/>
  <c r="O20" i="42"/>
  <c r="I49" i="41"/>
  <c r="I44" i="41"/>
  <c r="I39" i="41"/>
  <c r="I56" i="41"/>
  <c r="H50" i="41"/>
  <c r="I50" i="41" s="1"/>
  <c r="H45" i="41"/>
  <c r="I45" i="41" s="1"/>
  <c r="H46" i="41"/>
  <c r="I46" i="41" s="1"/>
  <c r="H47" i="41"/>
  <c r="I47" i="41" s="1"/>
  <c r="H51" i="41"/>
  <c r="I51" i="41" s="1"/>
  <c r="H52" i="41"/>
  <c r="I52" i="41" s="1"/>
  <c r="H55" i="41"/>
  <c r="I55" i="41" s="1"/>
  <c r="I57" i="41"/>
  <c r="Q49" i="41"/>
  <c r="R49" i="41" s="1"/>
  <c r="Q48" i="41"/>
  <c r="R48" i="41" s="1"/>
  <c r="Q47" i="41"/>
  <c r="R47" i="41" s="1"/>
  <c r="N49" i="41"/>
  <c r="N48" i="41"/>
  <c r="N47" i="41"/>
  <c r="R21" i="41"/>
  <c r="Q20" i="41"/>
  <c r="R20" i="41" s="1"/>
  <c r="Q21" i="41"/>
  <c r="Q19" i="41"/>
  <c r="R19" i="41" s="1"/>
  <c r="I34" i="41" l="1"/>
  <c r="I29" i="41"/>
  <c r="G31" i="42"/>
  <c r="H42" i="41"/>
  <c r="I42" i="41"/>
  <c r="I37" i="41"/>
  <c r="I32" i="41"/>
  <c r="G36" i="42" l="1"/>
  <c r="O40" i="42"/>
  <c r="O41" i="42"/>
  <c r="S114" i="37"/>
  <c r="S115" i="37"/>
  <c r="S116" i="37"/>
  <c r="G114" i="37"/>
  <c r="G115" i="37"/>
  <c r="G116" i="37"/>
  <c r="W95" i="37"/>
  <c r="Y95" i="37" s="1"/>
  <c r="W96" i="37"/>
  <c r="Y96" i="37" s="1"/>
  <c r="W94" i="37"/>
  <c r="Y94" i="37" s="1"/>
  <c r="S75" i="37"/>
  <c r="S76" i="37"/>
  <c r="S74" i="37"/>
  <c r="G74" i="37"/>
  <c r="G75" i="37"/>
  <c r="G76" i="37"/>
  <c r="Y54" i="37"/>
  <c r="Y55" i="37"/>
  <c r="Y56" i="37"/>
  <c r="S54" i="37"/>
  <c r="S55" i="37"/>
  <c r="S56" i="37"/>
  <c r="G54" i="37"/>
  <c r="G55" i="37"/>
  <c r="G56" i="37"/>
  <c r="Y33" i="37"/>
  <c r="Y34" i="37"/>
  <c r="Y35" i="37"/>
  <c r="S33" i="37"/>
  <c r="S34" i="37"/>
  <c r="S35" i="37"/>
  <c r="M33" i="37"/>
  <c r="M34" i="37"/>
  <c r="M35" i="37"/>
  <c r="G34" i="37"/>
  <c r="F35" i="37"/>
  <c r="E35" i="37"/>
  <c r="G35" i="37" s="1"/>
  <c r="F33" i="37"/>
  <c r="E33" i="37"/>
  <c r="G33" i="37" s="1"/>
  <c r="X15" i="37"/>
  <c r="W15" i="37"/>
  <c r="Y15" i="37" s="1"/>
  <c r="Y14" i="37"/>
  <c r="Y13" i="37"/>
  <c r="W12" i="37"/>
  <c r="Y12" i="37" s="1"/>
  <c r="S13" i="37"/>
  <c r="S14" i="37"/>
  <c r="S15" i="37"/>
  <c r="G14" i="37"/>
  <c r="G13" i="37"/>
  <c r="G30" i="42"/>
  <c r="G35" i="42"/>
  <c r="G38" i="42"/>
  <c r="G40" i="42"/>
  <c r="G28" i="42"/>
  <c r="Y37" i="38"/>
  <c r="Y38" i="38"/>
  <c r="Y39" i="38"/>
  <c r="Y117" i="38"/>
  <c r="Y118" i="38"/>
  <c r="Y119" i="38"/>
  <c r="S117" i="38"/>
  <c r="S118" i="38"/>
  <c r="S119" i="38"/>
  <c r="M117" i="38"/>
  <c r="M118" i="38"/>
  <c r="G117" i="38"/>
  <c r="G118" i="38"/>
  <c r="G119" i="38"/>
  <c r="X99" i="38"/>
  <c r="Y99" i="38" s="1"/>
  <c r="W99" i="38"/>
  <c r="X98" i="38"/>
  <c r="Y98" i="38" s="1"/>
  <c r="W98" i="38"/>
  <c r="X97" i="38"/>
  <c r="Y97" i="38" s="1"/>
  <c r="W97" i="38"/>
  <c r="S97" i="38"/>
  <c r="S98" i="38"/>
  <c r="S99" i="38"/>
  <c r="M97" i="38"/>
  <c r="M98" i="38"/>
  <c r="M99" i="38"/>
  <c r="G97" i="38"/>
  <c r="G98" i="38"/>
  <c r="G99" i="38"/>
  <c r="Y77" i="38"/>
  <c r="Y78" i="38"/>
  <c r="Y79" i="38"/>
  <c r="S77" i="38"/>
  <c r="S78" i="38"/>
  <c r="S79" i="38"/>
  <c r="M77" i="38"/>
  <c r="M78" i="38"/>
  <c r="M79" i="38"/>
  <c r="Y57" i="38"/>
  <c r="Y58" i="38"/>
  <c r="Y59" i="38"/>
  <c r="S57" i="38"/>
  <c r="S58" i="38"/>
  <c r="S59" i="38"/>
  <c r="M57" i="38"/>
  <c r="M58" i="38"/>
  <c r="M59" i="38"/>
  <c r="G57" i="38"/>
  <c r="G58" i="38"/>
  <c r="G59" i="38"/>
  <c r="S37" i="38"/>
  <c r="S38" i="38"/>
  <c r="S39" i="38"/>
  <c r="S36" i="38"/>
  <c r="M37" i="38"/>
  <c r="M38" i="38"/>
  <c r="M39" i="38"/>
  <c r="F39" i="38"/>
  <c r="G39" i="38" s="1"/>
  <c r="E39" i="38"/>
  <c r="F38" i="38"/>
  <c r="G38" i="38" s="1"/>
  <c r="E38" i="38"/>
  <c r="F37" i="38"/>
  <c r="G37" i="38" s="1"/>
  <c r="E37" i="38"/>
  <c r="Y18" i="38"/>
  <c r="X18" i="38"/>
  <c r="W18" i="38"/>
  <c r="X17" i="38"/>
  <c r="Y17" i="38" s="1"/>
  <c r="W17" i="38"/>
  <c r="X16" i="38"/>
  <c r="Y16" i="38" s="1"/>
  <c r="W16" i="38"/>
  <c r="X15" i="38"/>
  <c r="Y15" i="38" s="1"/>
  <c r="W15" i="38"/>
  <c r="S16" i="38"/>
  <c r="S17" i="38"/>
  <c r="S18" i="38"/>
  <c r="M16" i="38"/>
  <c r="M17" i="38"/>
  <c r="M18" i="38"/>
  <c r="G15" i="38"/>
  <c r="G16" i="38"/>
  <c r="G17" i="38"/>
  <c r="I35" i="41"/>
  <c r="I36" i="41"/>
  <c r="I40" i="41"/>
  <c r="I41" i="41"/>
  <c r="I31" i="41"/>
  <c r="I30" i="41"/>
  <c r="I38" i="41"/>
  <c r="I33" i="41"/>
  <c r="I28" i="41"/>
  <c r="O16" i="42"/>
  <c r="O17" i="42"/>
  <c r="O18" i="42"/>
  <c r="Q15" i="41"/>
  <c r="Q16" i="41"/>
  <c r="R16" i="41" s="1"/>
  <c r="Q17" i="41"/>
  <c r="R17" i="41" s="1"/>
  <c r="Q18" i="41"/>
  <c r="R18" i="41" s="1"/>
  <c r="R15" i="41" l="1"/>
  <c r="Y36" i="38" l="1"/>
  <c r="Y35" i="38"/>
  <c r="Y34" i="38"/>
  <c r="G94" i="38"/>
  <c r="S35" i="38"/>
  <c r="N50" i="42"/>
  <c r="M50" i="42"/>
  <c r="L50" i="42"/>
  <c r="O39" i="42"/>
  <c r="O38" i="42"/>
  <c r="O50" i="42" s="1"/>
  <c r="G26" i="42"/>
  <c r="N25" i="42"/>
  <c r="M25" i="42"/>
  <c r="L25" i="42"/>
  <c r="G25" i="42"/>
  <c r="G23" i="42"/>
  <c r="G22" i="42"/>
  <c r="G21" i="42"/>
  <c r="G20" i="42"/>
  <c r="G19" i="42"/>
  <c r="G18" i="42"/>
  <c r="G17" i="42"/>
  <c r="G16" i="42"/>
  <c r="O15" i="42"/>
  <c r="G15" i="42"/>
  <c r="O14" i="42"/>
  <c r="G14" i="42"/>
  <c r="O13" i="42"/>
  <c r="G13" i="42"/>
  <c r="AT56" i="41"/>
  <c r="AS56" i="41"/>
  <c r="AQ56" i="41"/>
  <c r="AP56" i="41"/>
  <c r="AO56" i="41"/>
  <c r="AN56" i="41"/>
  <c r="Q46" i="41" s="1"/>
  <c r="R46" i="41" s="1"/>
  <c r="AM56" i="41"/>
  <c r="Q45" i="41" s="1"/>
  <c r="R45" i="41" s="1"/>
  <c r="AL56" i="41"/>
  <c r="Q44" i="41" s="1"/>
  <c r="R44" i="41" s="1"/>
  <c r="AK56" i="41"/>
  <c r="Q43" i="41" s="1"/>
  <c r="R43" i="41" s="1"/>
  <c r="AJ56" i="41"/>
  <c r="Q42" i="41" s="1"/>
  <c r="R42" i="41" s="1"/>
  <c r="AI56" i="41"/>
  <c r="AG56" i="41"/>
  <c r="AF56" i="41"/>
  <c r="AD56" i="41"/>
  <c r="AC56" i="41"/>
  <c r="AB56" i="41"/>
  <c r="AA56" i="41"/>
  <c r="N46" i="41" s="1"/>
  <c r="Z56" i="41"/>
  <c r="N45" i="41" s="1"/>
  <c r="Y56" i="41"/>
  <c r="N44" i="41" s="1"/>
  <c r="X56" i="41"/>
  <c r="N43" i="41" s="1"/>
  <c r="W56" i="41"/>
  <c r="N42" i="41" s="1"/>
  <c r="V56" i="41"/>
  <c r="N41" i="41" s="1"/>
  <c r="M53" i="41"/>
  <c r="Q41" i="41"/>
  <c r="H27" i="41"/>
  <c r="I27" i="41" s="1"/>
  <c r="H26" i="41"/>
  <c r="I26" i="41" s="1"/>
  <c r="P25" i="41"/>
  <c r="O25" i="41"/>
  <c r="N25" i="41"/>
  <c r="M25" i="41"/>
  <c r="H25" i="41"/>
  <c r="I25" i="41" s="1"/>
  <c r="I24" i="41"/>
  <c r="H23" i="41"/>
  <c r="I23" i="41" s="1"/>
  <c r="H22" i="41"/>
  <c r="I22" i="41" s="1"/>
  <c r="H21" i="41"/>
  <c r="I21" i="41" s="1"/>
  <c r="I20" i="41"/>
  <c r="I19" i="41"/>
  <c r="H18" i="41"/>
  <c r="I18" i="41" s="1"/>
  <c r="H17" i="41"/>
  <c r="I17" i="41" s="1"/>
  <c r="H16" i="41"/>
  <c r="I16" i="41" s="1"/>
  <c r="H15" i="41"/>
  <c r="I15" i="41" s="1"/>
  <c r="Q14" i="41"/>
  <c r="R14" i="41" s="1"/>
  <c r="I14" i="41"/>
  <c r="Q13" i="41"/>
  <c r="R13" i="41" s="1"/>
  <c r="H13" i="41"/>
  <c r="I13" i="41" s="1"/>
  <c r="N53" i="41" l="1"/>
  <c r="Q53" i="41"/>
  <c r="R25" i="41"/>
  <c r="O25" i="42"/>
  <c r="Q25" i="41"/>
  <c r="R41" i="41"/>
  <c r="R53" i="41" s="1"/>
  <c r="Y93" i="37"/>
  <c r="G142" i="37" l="1"/>
  <c r="G141" i="37"/>
  <c r="G140" i="37"/>
  <c r="Y13" i="38" l="1"/>
  <c r="F143" i="37" l="1"/>
  <c r="D143" i="37"/>
  <c r="G139" i="37"/>
  <c r="G138" i="37"/>
  <c r="G137" i="37"/>
  <c r="G136" i="37"/>
  <c r="G135" i="37"/>
  <c r="G134" i="37"/>
  <c r="G133" i="37"/>
  <c r="G132" i="37"/>
  <c r="G131" i="37"/>
  <c r="V123" i="37"/>
  <c r="R123" i="37"/>
  <c r="Q123" i="37"/>
  <c r="P123" i="37"/>
  <c r="L123" i="37"/>
  <c r="K123" i="37"/>
  <c r="J123" i="37"/>
  <c r="F123" i="37"/>
  <c r="E123" i="37"/>
  <c r="D123" i="37"/>
  <c r="S113" i="37"/>
  <c r="M113" i="37"/>
  <c r="G113" i="37"/>
  <c r="S112" i="37"/>
  <c r="M112" i="37"/>
  <c r="G112" i="37"/>
  <c r="Y111" i="37"/>
  <c r="S111" i="37"/>
  <c r="M111" i="37"/>
  <c r="G111" i="37"/>
  <c r="X103" i="37"/>
  <c r="W103" i="37"/>
  <c r="V103" i="37"/>
  <c r="S103" i="37"/>
  <c r="R103" i="37"/>
  <c r="P103" i="37"/>
  <c r="D103" i="37"/>
  <c r="Y92" i="37"/>
  <c r="Y91" i="37"/>
  <c r="Y103" i="37" s="1"/>
  <c r="X83" i="37"/>
  <c r="W83" i="37"/>
  <c r="V83" i="37"/>
  <c r="R83" i="37"/>
  <c r="P83" i="37"/>
  <c r="F83" i="37"/>
  <c r="E83" i="37"/>
  <c r="D83" i="37"/>
  <c r="Y73" i="37"/>
  <c r="S73" i="37"/>
  <c r="G73" i="37"/>
  <c r="Y72" i="37"/>
  <c r="S72" i="37"/>
  <c r="G72" i="37"/>
  <c r="Y71" i="37"/>
  <c r="S71" i="37"/>
  <c r="G71" i="37"/>
  <c r="X63" i="37"/>
  <c r="W63" i="37"/>
  <c r="V63" i="37"/>
  <c r="R63" i="37"/>
  <c r="Q63" i="37"/>
  <c r="P63" i="37"/>
  <c r="F63" i="37"/>
  <c r="E63" i="37"/>
  <c r="D63" i="37"/>
  <c r="Y53" i="37"/>
  <c r="S53" i="37"/>
  <c r="G53" i="37"/>
  <c r="Y52" i="37"/>
  <c r="S52" i="37"/>
  <c r="G52" i="37"/>
  <c r="Y51" i="37"/>
  <c r="S51" i="37"/>
  <c r="G51" i="37"/>
  <c r="X42" i="37"/>
  <c r="W42" i="37"/>
  <c r="V42" i="37"/>
  <c r="R42" i="37"/>
  <c r="Q42" i="37"/>
  <c r="P42" i="37"/>
  <c r="L42" i="37"/>
  <c r="K42" i="37"/>
  <c r="J42" i="37"/>
  <c r="F42" i="37"/>
  <c r="E42" i="37"/>
  <c r="D42" i="37"/>
  <c r="Y32" i="37"/>
  <c r="S32" i="37"/>
  <c r="M32" i="37"/>
  <c r="G32" i="37"/>
  <c r="Y31" i="37"/>
  <c r="S31" i="37"/>
  <c r="M31" i="37"/>
  <c r="G31" i="37"/>
  <c r="Y30" i="37"/>
  <c r="S30" i="37"/>
  <c r="M30" i="37"/>
  <c r="G30" i="37"/>
  <c r="X22" i="37"/>
  <c r="W22" i="37"/>
  <c r="V22" i="37"/>
  <c r="R22" i="37"/>
  <c r="Q22" i="37"/>
  <c r="P22" i="37"/>
  <c r="L22" i="37"/>
  <c r="J22" i="37"/>
  <c r="F22" i="37"/>
  <c r="E22" i="37"/>
  <c r="D22" i="37"/>
  <c r="S12" i="37"/>
  <c r="G12" i="37"/>
  <c r="Y11" i="37"/>
  <c r="S11" i="37"/>
  <c r="G11" i="37"/>
  <c r="Y10" i="37"/>
  <c r="S10" i="37"/>
  <c r="G10" i="37"/>
  <c r="G145" i="38"/>
  <c r="E145" i="38"/>
  <c r="D145" i="38"/>
  <c r="X126" i="38"/>
  <c r="W126" i="38"/>
  <c r="V126" i="38"/>
  <c r="R126" i="38"/>
  <c r="Q126" i="38"/>
  <c r="P126" i="38"/>
  <c r="L126" i="38"/>
  <c r="K126" i="38"/>
  <c r="J126" i="38"/>
  <c r="F126" i="38"/>
  <c r="E126" i="38"/>
  <c r="D126" i="38"/>
  <c r="Y116" i="38"/>
  <c r="S116" i="38"/>
  <c r="M116" i="38"/>
  <c r="G116" i="38"/>
  <c r="Y115" i="38"/>
  <c r="S115" i="38"/>
  <c r="M115" i="38"/>
  <c r="G115" i="38"/>
  <c r="Y114" i="38"/>
  <c r="S114" i="38"/>
  <c r="M114" i="38"/>
  <c r="G114" i="38"/>
  <c r="X106" i="38"/>
  <c r="W106" i="38"/>
  <c r="V106" i="38"/>
  <c r="R106" i="38"/>
  <c r="Q106" i="38"/>
  <c r="P106" i="38"/>
  <c r="L106" i="38"/>
  <c r="K106" i="38"/>
  <c r="J106" i="38"/>
  <c r="F106" i="38"/>
  <c r="E106" i="38"/>
  <c r="D106" i="38"/>
  <c r="Y96" i="38"/>
  <c r="S96" i="38"/>
  <c r="M96" i="38"/>
  <c r="G96" i="38"/>
  <c r="Y95" i="38"/>
  <c r="S95" i="38"/>
  <c r="M95" i="38"/>
  <c r="G95" i="38"/>
  <c r="Y94" i="38"/>
  <c r="S94" i="38"/>
  <c r="M94" i="38"/>
  <c r="X86" i="38"/>
  <c r="W86" i="38"/>
  <c r="V86" i="38"/>
  <c r="R86" i="38"/>
  <c r="Q86" i="38"/>
  <c r="P86" i="38"/>
  <c r="L86" i="38"/>
  <c r="K86" i="38"/>
  <c r="J86" i="38"/>
  <c r="F86" i="38"/>
  <c r="E86" i="38"/>
  <c r="D86" i="38"/>
  <c r="Y76" i="38"/>
  <c r="S76" i="38"/>
  <c r="M76" i="38"/>
  <c r="G76" i="38"/>
  <c r="Y75" i="38"/>
  <c r="S75" i="38"/>
  <c r="M75" i="38"/>
  <c r="G75" i="38"/>
  <c r="Y74" i="38"/>
  <c r="S74" i="38"/>
  <c r="M74" i="38"/>
  <c r="G74" i="38"/>
  <c r="X66" i="38"/>
  <c r="W66" i="38"/>
  <c r="V66" i="38"/>
  <c r="R66" i="38"/>
  <c r="Q66" i="38"/>
  <c r="P66" i="38"/>
  <c r="L66" i="38"/>
  <c r="K66" i="38"/>
  <c r="J66" i="38"/>
  <c r="F66" i="38"/>
  <c r="E66" i="38"/>
  <c r="D66" i="38"/>
  <c r="Y56" i="38"/>
  <c r="S56" i="38"/>
  <c r="M56" i="38"/>
  <c r="G56" i="38"/>
  <c r="Y55" i="38"/>
  <c r="S55" i="38"/>
  <c r="M55" i="38"/>
  <c r="G55" i="38"/>
  <c r="Y54" i="38"/>
  <c r="S54" i="38"/>
  <c r="M54" i="38"/>
  <c r="G54" i="38"/>
  <c r="X46" i="38"/>
  <c r="W46" i="38"/>
  <c r="V46" i="38"/>
  <c r="R46" i="38"/>
  <c r="Q46" i="38"/>
  <c r="P46" i="38"/>
  <c r="L46" i="38"/>
  <c r="K46" i="38"/>
  <c r="J46" i="38"/>
  <c r="F46" i="38"/>
  <c r="E46" i="38"/>
  <c r="D46" i="38"/>
  <c r="M36" i="38"/>
  <c r="G36" i="38"/>
  <c r="M35" i="38"/>
  <c r="G35" i="38"/>
  <c r="Y46" i="38"/>
  <c r="S34" i="38"/>
  <c r="M34" i="38"/>
  <c r="G34" i="38"/>
  <c r="X25" i="38"/>
  <c r="W25" i="38"/>
  <c r="V25" i="38"/>
  <c r="R25" i="38"/>
  <c r="Q25" i="38"/>
  <c r="P25" i="38"/>
  <c r="L25" i="38"/>
  <c r="K25" i="38"/>
  <c r="J25" i="38"/>
  <c r="F25" i="38"/>
  <c r="E25" i="38"/>
  <c r="D25" i="38"/>
  <c r="S15" i="38"/>
  <c r="M15" i="38"/>
  <c r="Y14" i="38"/>
  <c r="Y25" i="38" s="1"/>
  <c r="S14" i="38"/>
  <c r="M14" i="38"/>
  <c r="G14" i="38"/>
  <c r="G25" i="38" s="1"/>
  <c r="S13" i="38"/>
  <c r="M13" i="38"/>
  <c r="G13" i="38"/>
  <c r="G42" i="37" l="1"/>
  <c r="M42" i="37"/>
  <c r="S42" i="37"/>
  <c r="S25" i="38"/>
  <c r="Y106" i="38"/>
  <c r="Y63" i="37"/>
  <c r="S22" i="37"/>
  <c r="G63" i="37"/>
  <c r="S83" i="37"/>
  <c r="S63" i="37"/>
  <c r="G143" i="37"/>
  <c r="G83" i="37"/>
  <c r="S123" i="37"/>
  <c r="M123" i="37"/>
  <c r="Y83" i="37"/>
  <c r="Y42" i="37"/>
  <c r="Y22" i="37"/>
  <c r="G22" i="37"/>
  <c r="G126" i="38"/>
  <c r="S106" i="38"/>
  <c r="G86" i="38"/>
  <c r="G66" i="38"/>
  <c r="M66" i="38"/>
  <c r="M106" i="38"/>
  <c r="G46" i="38"/>
  <c r="S66" i="38"/>
  <c r="S86" i="38"/>
  <c r="S126" i="38"/>
  <c r="M126" i="38"/>
  <c r="M25" i="38"/>
  <c r="M46" i="38"/>
  <c r="Y66" i="38"/>
  <c r="Y86" i="38"/>
  <c r="Y126" i="38"/>
  <c r="M86" i="38"/>
  <c r="S46" i="38"/>
  <c r="G106" i="38"/>
</calcChain>
</file>

<file path=xl/sharedStrings.xml><?xml version="1.0" encoding="utf-8"?>
<sst xmlns="http://schemas.openxmlformats.org/spreadsheetml/2006/main" count="704" uniqueCount="123">
  <si>
    <t>Nº de Trabajadores</t>
  </si>
  <si>
    <t>Mes</t>
  </si>
  <si>
    <t>Promedio</t>
  </si>
  <si>
    <t>Sede Amazonas</t>
  </si>
  <si>
    <t>Sede Apurimac</t>
  </si>
  <si>
    <t>Sede Arequipa</t>
  </si>
  <si>
    <t>Sede Ayacucho</t>
  </si>
  <si>
    <t>Importe                 S/.</t>
  </si>
  <si>
    <t>Consumo de Energía activa (KW.h)</t>
  </si>
  <si>
    <t>Indicador Kw.h de energía eléctrica consumida/ Número de personas</t>
  </si>
  <si>
    <t>Importe                 S/. 30% del total</t>
  </si>
  <si>
    <t>Sede Cajamarca</t>
  </si>
  <si>
    <t>Sede Cerro de Pasco</t>
  </si>
  <si>
    <t>Sede Cusco</t>
  </si>
  <si>
    <t>Sede Huancavelica</t>
  </si>
  <si>
    <t>Sede Huanuco</t>
  </si>
  <si>
    <t>Sede Moquegua</t>
  </si>
  <si>
    <t>Sede Piura</t>
  </si>
  <si>
    <t>Sede Puno</t>
  </si>
  <si>
    <t>Sede Ica</t>
  </si>
  <si>
    <t>Sede Tacna</t>
  </si>
  <si>
    <t>Sede Tumbes</t>
  </si>
  <si>
    <t>Sede Junin</t>
  </si>
  <si>
    <t>Sede Ucayali</t>
  </si>
  <si>
    <t>Sede Madre de Dios</t>
  </si>
  <si>
    <t>Sede San Martin</t>
  </si>
  <si>
    <t>Sede VRAEM</t>
  </si>
  <si>
    <t>*Osiptel paga el 50% del recibo</t>
  </si>
  <si>
    <t>Sede ANCASH</t>
  </si>
  <si>
    <t>Sede la Libertad</t>
  </si>
  <si>
    <t>Sede Lambayeque</t>
  </si>
  <si>
    <t>Sede Loreto</t>
  </si>
  <si>
    <r>
      <t>Consumo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</si>
  <si>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Importe                  S/.</t>
  </si>
  <si>
    <r>
      <t>Indice de consumo de agua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 número de personas)</t>
    </r>
  </si>
  <si>
    <r>
      <t>Consumo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 30% del total</t>
    </r>
  </si>
  <si>
    <t>(*) hay un convenio entre propietario y el Osiptel, por un cargo fijo mensual.</t>
  </si>
  <si>
    <r>
      <t>Consumo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) </t>
    </r>
  </si>
  <si>
    <t>(*) hay un convenio entre propietario y el Osiptel, por un pago mensual del 65% del recibo.</t>
  </si>
  <si>
    <t>(*) El propietario del inmueble paga el total del recibo</t>
  </si>
  <si>
    <t>* el propietario del inmueble paga el total del recibo</t>
  </si>
  <si>
    <t>(*) El propietario del inmueble paga el total del recibo.</t>
  </si>
  <si>
    <t>(*) hay un convenio entre propietario y el Osiptel, por un cargo fijo mensual del 50% del recibo</t>
  </si>
  <si>
    <r>
      <t xml:space="preserve">SEDE SJL Suministro Nº </t>
    </r>
    <r>
      <rPr>
        <b/>
        <sz val="10"/>
        <color rgb="FFFF0000"/>
        <rFont val="Arial"/>
        <family val="2"/>
      </rPr>
      <t>0126598</t>
    </r>
  </si>
  <si>
    <r>
      <t xml:space="preserve">SEDE Los Olivos Numero de Cliente Nº </t>
    </r>
    <r>
      <rPr>
        <b/>
        <sz val="10"/>
        <color rgb="FFFF0000"/>
        <rFont val="Arial"/>
        <family val="2"/>
      </rPr>
      <t>1796385</t>
    </r>
  </si>
  <si>
    <r>
      <t xml:space="preserve">SEDE SJM Suministro Nº </t>
    </r>
    <r>
      <rPr>
        <b/>
        <sz val="10"/>
        <color rgb="FFFF0000"/>
        <rFont val="Arial"/>
        <family val="2"/>
      </rPr>
      <t>234753</t>
    </r>
  </si>
  <si>
    <r>
      <t xml:space="preserve">SEDE Callao Numero de Cliente Nº </t>
    </r>
    <r>
      <rPr>
        <b/>
        <sz val="10"/>
        <color rgb="FFFF0000"/>
        <rFont val="Arial"/>
        <family val="2"/>
      </rPr>
      <t>0110398</t>
    </r>
  </si>
  <si>
    <r>
      <t xml:space="preserve">SEDE Bolivia Numero de Cliente Nº </t>
    </r>
    <r>
      <rPr>
        <b/>
        <sz val="10"/>
        <color rgb="FFFF0000"/>
        <rFont val="Arial"/>
        <family val="2"/>
      </rPr>
      <t>0005510</t>
    </r>
  </si>
  <si>
    <r>
      <t xml:space="preserve">SEDE CENTRAL Sumistro Nº </t>
    </r>
    <r>
      <rPr>
        <b/>
        <sz val="11"/>
        <color rgb="FFFF0000"/>
        <rFont val="Arial"/>
        <family val="2"/>
      </rPr>
      <t>1296389</t>
    </r>
  </si>
  <si>
    <t>Centros de Orientaciones</t>
  </si>
  <si>
    <t>Consumo de Energía Eléctrica</t>
  </si>
  <si>
    <t xml:space="preserve">Lectura Actual </t>
  </si>
  <si>
    <t>Lectura Anterior</t>
  </si>
  <si>
    <t>Total                Lectura</t>
  </si>
  <si>
    <t>Hora punta  (Kwh)</t>
  </si>
  <si>
    <t>Fuera de  punta          (Kwh)</t>
  </si>
  <si>
    <t>Total                (Kwh)</t>
  </si>
  <si>
    <t>Los Olivos</t>
  </si>
  <si>
    <t>SJM *</t>
  </si>
  <si>
    <t>Callao</t>
  </si>
  <si>
    <t>SJL</t>
  </si>
  <si>
    <t>Bolivia</t>
  </si>
  <si>
    <t xml:space="preserve">SEDE GALVEZ BARENECHEA Sumistro Nº </t>
  </si>
  <si>
    <t>00019817S-0004; 00018633S-0005;00018632S-0007;00018634S-0009; 00018629S-0010</t>
  </si>
  <si>
    <t>00018636S-0011;00018639S-0012; 00018640S-0013; 00018637S-0014; 00018638S-0015</t>
  </si>
  <si>
    <t>00018631S-0016; 00019826S-0017;00018635S-0018; 00018630S-0019; 00018378S-0020</t>
  </si>
  <si>
    <t>00019821S-0021; 00019828S-0022;00019825S-0023; 00019822S-0024;00018386S-0025</t>
  </si>
  <si>
    <t>00019827S-0026; 00019819S-0027;00019818S-0028; 00019823S-0029; 00019824S-0030</t>
  </si>
  <si>
    <t>Boliva</t>
  </si>
  <si>
    <t>que asciende al 25% del monto total del recibo de electricidad.</t>
  </si>
  <si>
    <t>costo mensual</t>
  </si>
  <si>
    <t>consumo en KW.h</t>
  </si>
  <si>
    <t>suministro</t>
  </si>
  <si>
    <t>Febrero</t>
  </si>
  <si>
    <t>Marzo</t>
  </si>
  <si>
    <r>
      <t xml:space="preserve">SEDE Los Olivos Suministro Nº </t>
    </r>
    <r>
      <rPr>
        <b/>
        <sz val="10"/>
        <color rgb="FFFF0000"/>
        <rFont val="Arial"/>
        <family val="2"/>
      </rPr>
      <t>5174770-7</t>
    </r>
  </si>
  <si>
    <r>
      <t xml:space="preserve">SEDE SJM Suministro Nº </t>
    </r>
    <r>
      <rPr>
        <b/>
        <sz val="10"/>
        <color rgb="FFFF0000"/>
        <rFont val="Arial"/>
        <family val="2"/>
      </rPr>
      <t>2634067-9</t>
    </r>
  </si>
  <si>
    <r>
      <t xml:space="preserve">SEDE Callao Suministro Nº </t>
    </r>
    <r>
      <rPr>
        <b/>
        <sz val="10"/>
        <color rgb="FFFF0000"/>
        <rFont val="Arial"/>
        <family val="2"/>
      </rPr>
      <t>2029061</t>
    </r>
  </si>
  <si>
    <r>
      <t xml:space="preserve">SEDE Bolivia Suministro Nº </t>
    </r>
    <r>
      <rPr>
        <b/>
        <sz val="10"/>
        <color rgb="FFFF0000"/>
        <rFont val="Arial"/>
        <family val="2"/>
      </rPr>
      <t>3015133-6</t>
    </r>
  </si>
  <si>
    <r>
      <t xml:space="preserve">SEDE CENTRAL Suministro Nº </t>
    </r>
    <r>
      <rPr>
        <b/>
        <sz val="10"/>
        <color rgb="FFFF0000"/>
        <rFont val="Arial"/>
        <family val="2"/>
      </rPr>
      <t>2913870-8</t>
    </r>
  </si>
  <si>
    <t xml:space="preserve">SEDE SJL Suministro Nº </t>
  </si>
  <si>
    <r>
      <t xml:space="preserve">SEDE G. BARRENECHEA Suministro Nº </t>
    </r>
    <r>
      <rPr>
        <b/>
        <sz val="10"/>
        <color rgb="FFFF0000"/>
        <rFont val="Arial"/>
        <family val="2"/>
      </rPr>
      <t>2589760-4</t>
    </r>
  </si>
  <si>
    <t>SJM</t>
  </si>
  <si>
    <t xml:space="preserve">que asciende al 25% del monto total del recibo de agua </t>
  </si>
  <si>
    <t xml:space="preserve"> Enero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</si>
  <si>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</si>
  <si>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</si>
  <si>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</si>
  <si>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</si>
  <si>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</si>
  <si>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</si>
  <si>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</si>
  <si>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</si>
  <si>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</si>
  <si>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.</t>
  </si>
  <si>
    <t xml:space="preserve"> OSIPTEl asume pagos del 30% del total del recibo</t>
  </si>
  <si>
    <t>COU JULIACA</t>
  </si>
  <si>
    <t xml:space="preserve"> OSIPTEL asume pagos del  30%</t>
  </si>
  <si>
    <t>(*) el recibo paga el propietario,</t>
  </si>
  <si>
    <t>Hay un comvenio con el propietario por S/15,00 mensuales</t>
  </si>
  <si>
    <t xml:space="preserve">* </t>
  </si>
  <si>
    <t>COU JULIACA (*)</t>
  </si>
  <si>
    <t>(*) convenio de pago con el propietario por S/. 50.00 soles mensuales</t>
  </si>
  <si>
    <t>(*) En el caso de SJM, hay un convenio firmado entre propietario y el OSIPTEL, para el pago de los servicios</t>
  </si>
  <si>
    <t>(*) En el caso de SJM, hay un convenio firmado entre propietario y el Osiptel, para el pago de los servicios</t>
  </si>
  <si>
    <t>Fuera de Hora  punta          (Kwh)</t>
  </si>
  <si>
    <t>CONSUMO DE AGUA POTABLE - 2017</t>
  </si>
  <si>
    <t>(*) El propietario paga el recibo.</t>
  </si>
  <si>
    <t>* el pago se realiza entre 2 arrendatarios</t>
  </si>
  <si>
    <t>*</t>
  </si>
  <si>
    <t>CONSUMO DE ENERGIA ELECTRICA - 2018</t>
  </si>
  <si>
    <t>CONSUMO DE AGUA POTABLE - 2018</t>
  </si>
  <si>
    <t>NO INDICA</t>
  </si>
  <si>
    <t xml:space="preserve">NO INDICA </t>
  </si>
  <si>
    <t>*El Osiptel asume el 78% del monto total del recibo</t>
  </si>
  <si>
    <t>AUN NO SE CUENTA CON EL RECIBO</t>
  </si>
  <si>
    <t>Aún no se recepciona el recibo.</t>
  </si>
  <si>
    <t>Aún no se recepciona el recibo</t>
  </si>
  <si>
    <t>Aun no se recepciona el recibo</t>
  </si>
  <si>
    <t>Aun no se recepciona el recibo.</t>
  </si>
  <si>
    <t>Aún no se rececpciona el recibo.</t>
  </si>
  <si>
    <t>Aun no se recpciona el recibo</t>
  </si>
  <si>
    <t>No se cuenta con el recibo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</si>
</sst>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#,##0.000"/>
    <numFmt numFmtId="166" formatCode="#,##0.0"/>
    <numFmt numFmtId="167" formatCode="0.0"/>
    <numFmt numFmtId="168" formatCode="#,##0.00;[Red]#,##0.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u/>
      <sz val="9"/>
      <name val="Arial"/>
      <family val="2"/>
    </font>
    <font>
      <sz val="8"/>
      <color theme="1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sz val="9"/>
      <color rgb="FFFF0000"/>
      <name val="Arial"/>
      <family val="2"/>
    </font>
    <font>
      <sz val="9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u/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1">
    <xf numFmtId="0" fontId="0" fillId="0" borderId="0" xfId="0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2" fillId="0" borderId="16" xfId="1" applyNumberFormat="1" applyFont="1" applyFill="1" applyBorder="1" applyAlignment="1">
      <alignment horizontal="center"/>
    </xf>
    <xf numFmtId="0" fontId="8" fillId="2" borderId="0" xfId="0" applyFont="1" applyFill="1"/>
    <xf numFmtId="17" fontId="4" fillId="2" borderId="3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right"/>
    </xf>
    <xf numFmtId="4" fontId="4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4" fontId="4" fillId="2" borderId="13" xfId="1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 vertical="center" wrapText="1"/>
    </xf>
    <xf numFmtId="4" fontId="4" fillId="2" borderId="13" xfId="1" applyNumberFormat="1" applyFont="1" applyFill="1" applyBorder="1" applyAlignment="1">
      <alignment horizontal="center"/>
    </xf>
    <xf numFmtId="0" fontId="10" fillId="2" borderId="0" xfId="0" applyFont="1" applyFill="1"/>
    <xf numFmtId="0" fontId="8" fillId="2" borderId="0" xfId="0" applyFont="1" applyFill="1" applyAlignment="1">
      <alignment horizontal="center"/>
    </xf>
    <xf numFmtId="4" fontId="4" fillId="2" borderId="34" xfId="0" applyNumberFormat="1" applyFont="1" applyFill="1" applyBorder="1" applyAlignment="1">
      <alignment horizontal="center"/>
    </xf>
    <xf numFmtId="4" fontId="4" fillId="0" borderId="1" xfId="1" applyNumberFormat="1" applyFont="1" applyFill="1" applyBorder="1" applyAlignment="1">
      <alignment horizontal="center"/>
    </xf>
    <xf numFmtId="4" fontId="4" fillId="0" borderId="34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11" fillId="2" borderId="0" xfId="1" applyFont="1" applyFill="1" applyBorder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2" fillId="2" borderId="11" xfId="1" applyFont="1" applyFill="1" applyBorder="1" applyAlignment="1">
      <alignment horizontal="center"/>
    </xf>
    <xf numFmtId="4" fontId="2" fillId="2" borderId="16" xfId="1" applyNumberFormat="1" applyFont="1" applyFill="1" applyBorder="1" applyAlignment="1">
      <alignment horizontal="center"/>
    </xf>
    <xf numFmtId="4" fontId="2" fillId="2" borderId="37" xfId="1" applyNumberFormat="1" applyFont="1" applyFill="1" applyBorder="1" applyAlignment="1">
      <alignment horizontal="center"/>
    </xf>
    <xf numFmtId="4" fontId="2" fillId="2" borderId="0" xfId="1" applyNumberFormat="1" applyFont="1" applyFill="1" applyBorder="1" applyAlignment="1">
      <alignment horizontal="center"/>
    </xf>
    <xf numFmtId="4" fontId="2" fillId="2" borderId="10" xfId="1" applyNumberFormat="1" applyFont="1" applyFill="1" applyBorder="1" applyAlignment="1">
      <alignment horizontal="center"/>
    </xf>
    <xf numFmtId="4" fontId="2" fillId="2" borderId="0" xfId="1" applyNumberFormat="1" applyFont="1" applyFill="1" applyBorder="1" applyAlignment="1">
      <alignment horizontal="right"/>
    </xf>
    <xf numFmtId="4" fontId="2" fillId="2" borderId="0" xfId="0" applyNumberFormat="1" applyFont="1" applyFill="1" applyBorder="1"/>
    <xf numFmtId="0" fontId="1" fillId="2" borderId="0" xfId="0" applyFont="1" applyFill="1" applyBorder="1"/>
    <xf numFmtId="3" fontId="2" fillId="2" borderId="0" xfId="1" applyNumberFormat="1" applyFont="1" applyFill="1" applyBorder="1" applyAlignment="1">
      <alignment horizontal="center"/>
    </xf>
    <xf numFmtId="0" fontId="6" fillId="2" borderId="0" xfId="0" applyFont="1" applyFill="1"/>
    <xf numFmtId="0" fontId="3" fillId="0" borderId="0" xfId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center"/>
    </xf>
    <xf numFmtId="4" fontId="3" fillId="0" borderId="0" xfId="0" applyNumberFormat="1" applyFont="1" applyFill="1" applyBorder="1"/>
    <xf numFmtId="0" fontId="9" fillId="0" borderId="0" xfId="1" applyFont="1" applyFill="1" applyBorder="1" applyAlignment="1">
      <alignment horizontal="center"/>
    </xf>
    <xf numFmtId="4" fontId="4" fillId="0" borderId="0" xfId="0" applyNumberFormat="1" applyFont="1" applyFill="1" applyBorder="1"/>
    <xf numFmtId="0" fontId="5" fillId="0" borderId="0" xfId="1" applyFont="1" applyFill="1" applyBorder="1" applyAlignment="1"/>
    <xf numFmtId="0" fontId="7" fillId="0" borderId="0" xfId="1" applyFont="1" applyFill="1" applyBorder="1" applyAlignment="1"/>
    <xf numFmtId="0" fontId="1" fillId="2" borderId="0" xfId="1" applyFont="1" applyFill="1" applyAlignment="1">
      <alignment horizontal="center"/>
    </xf>
    <xf numFmtId="0" fontId="1" fillId="2" borderId="0" xfId="1" applyFont="1" applyFill="1"/>
    <xf numFmtId="0" fontId="1" fillId="2" borderId="0" xfId="0" applyFont="1" applyFill="1" applyAlignment="1">
      <alignment horizontal="center"/>
    </xf>
    <xf numFmtId="0" fontId="2" fillId="2" borderId="0" xfId="1" applyFont="1" applyFill="1" applyBorder="1" applyAlignment="1"/>
    <xf numFmtId="0" fontId="2" fillId="2" borderId="0" xfId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4" fontId="1" fillId="2" borderId="0" xfId="0" applyNumberFormat="1" applyFont="1" applyFill="1" applyBorder="1"/>
    <xf numFmtId="4" fontId="4" fillId="2" borderId="1" xfId="0" applyNumberFormat="1" applyFont="1" applyFill="1" applyBorder="1" applyAlignment="1">
      <alignment horizontal="right" vertical="center" wrapText="1"/>
    </xf>
    <xf numFmtId="2" fontId="4" fillId="2" borderId="14" xfId="0" applyNumberFormat="1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/>
    <xf numFmtId="0" fontId="11" fillId="0" borderId="0" xfId="1" applyFont="1" applyFill="1" applyBorder="1" applyAlignment="1">
      <alignment horizontal="center"/>
    </xf>
    <xf numFmtId="0" fontId="1" fillId="0" borderId="0" xfId="0" applyFont="1" applyFill="1"/>
    <xf numFmtId="0" fontId="4" fillId="0" borderId="14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1" applyFont="1" applyFill="1" applyBorder="1" applyAlignment="1">
      <alignment horizontal="center"/>
    </xf>
    <xf numFmtId="4" fontId="4" fillId="0" borderId="1" xfId="1" applyNumberFormat="1" applyFont="1" applyFill="1" applyBorder="1" applyAlignment="1">
      <alignment horizontal="right"/>
    </xf>
    <xf numFmtId="0" fontId="6" fillId="0" borderId="0" xfId="0" applyFont="1" applyFill="1"/>
    <xf numFmtId="2" fontId="4" fillId="2" borderId="0" xfId="0" applyNumberFormat="1" applyFont="1" applyFill="1"/>
    <xf numFmtId="4" fontId="1" fillId="2" borderId="0" xfId="0" applyNumberFormat="1" applyFont="1" applyFill="1"/>
    <xf numFmtId="4" fontId="2" fillId="2" borderId="16" xfId="1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2" fontId="4" fillId="0" borderId="1" xfId="1" applyNumberFormat="1" applyFont="1" applyFill="1" applyBorder="1" applyAlignment="1">
      <alignment horizontal="center"/>
    </xf>
    <xf numFmtId="4" fontId="4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3" fontId="8" fillId="0" borderId="0" xfId="0" applyNumberFormat="1" applyFont="1"/>
    <xf numFmtId="0" fontId="1" fillId="0" borderId="0" xfId="0" applyFont="1" applyFill="1" applyAlignment="1"/>
    <xf numFmtId="0" fontId="13" fillId="0" borderId="0" xfId="0" applyFont="1"/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18" fillId="0" borderId="51" xfId="0" applyFont="1" applyBorder="1" applyAlignment="1"/>
    <xf numFmtId="0" fontId="18" fillId="0" borderId="52" xfId="0" applyFont="1" applyBorder="1" applyAlignment="1"/>
    <xf numFmtId="0" fontId="18" fillId="0" borderId="31" xfId="0" applyFont="1" applyBorder="1" applyAlignment="1"/>
    <xf numFmtId="0" fontId="18" fillId="0" borderId="0" xfId="0" applyFont="1" applyBorder="1" applyAlignment="1"/>
    <xf numFmtId="0" fontId="18" fillId="0" borderId="55" xfId="0" applyFont="1" applyBorder="1" applyAlignment="1"/>
    <xf numFmtId="0" fontId="18" fillId="0" borderId="56" xfId="0" applyFont="1" applyBorder="1" applyAlignment="1"/>
    <xf numFmtId="0" fontId="18" fillId="0" borderId="57" xfId="0" applyFont="1" applyBorder="1" applyAlignment="1"/>
    <xf numFmtId="0" fontId="18" fillId="0" borderId="53" xfId="0" applyFont="1" applyBorder="1" applyAlignment="1"/>
    <xf numFmtId="0" fontId="18" fillId="0" borderId="54" xfId="0" applyFont="1" applyBorder="1" applyAlignment="1"/>
    <xf numFmtId="0" fontId="18" fillId="0" borderId="32" xfId="0" applyFont="1" applyBorder="1" applyAlignment="1"/>
    <xf numFmtId="4" fontId="4" fillId="0" borderId="0" xfId="0" applyNumberFormat="1" applyFont="1" applyFill="1" applyBorder="1" applyAlignment="1"/>
    <xf numFmtId="4" fontId="4" fillId="2" borderId="4" xfId="1" applyNumberFormat="1" applyFont="1" applyFill="1" applyBorder="1" applyAlignment="1">
      <alignment horizontal="center"/>
    </xf>
    <xf numFmtId="4" fontId="8" fillId="0" borderId="1" xfId="0" applyNumberFormat="1" applyFont="1" applyBorder="1"/>
    <xf numFmtId="0" fontId="8" fillId="0" borderId="1" xfId="0" applyFont="1" applyBorder="1"/>
    <xf numFmtId="0" fontId="1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/>
    <xf numFmtId="4" fontId="8" fillId="0" borderId="0" xfId="0" applyNumberFormat="1" applyFont="1"/>
    <xf numFmtId="0" fontId="8" fillId="3" borderId="14" xfId="0" applyFont="1" applyFill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4" fontId="8" fillId="0" borderId="1" xfId="0" applyNumberFormat="1" applyFont="1" applyBorder="1" applyAlignment="1"/>
    <xf numFmtId="4" fontId="8" fillId="0" borderId="13" xfId="0" applyNumberFormat="1" applyFont="1" applyBorder="1"/>
    <xf numFmtId="2" fontId="8" fillId="0" borderId="1" xfId="0" applyNumberFormat="1" applyFont="1" applyBorder="1"/>
    <xf numFmtId="166" fontId="8" fillId="4" borderId="14" xfId="0" applyNumberFormat="1" applyFont="1" applyFill="1" applyBorder="1"/>
    <xf numFmtId="4" fontId="8" fillId="4" borderId="14" xfId="0" applyNumberFormat="1" applyFont="1" applyFill="1" applyBorder="1"/>
    <xf numFmtId="167" fontId="13" fillId="0" borderId="0" xfId="0" applyNumberFormat="1" applyFont="1" applyFill="1" applyBorder="1"/>
    <xf numFmtId="4" fontId="8" fillId="4" borderId="1" xfId="0" applyNumberFormat="1" applyFont="1" applyFill="1" applyBorder="1"/>
    <xf numFmtId="4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7" fontId="1" fillId="0" borderId="0" xfId="0" applyNumberFormat="1" applyFont="1" applyFill="1"/>
    <xf numFmtId="3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9" fontId="1" fillId="0" borderId="0" xfId="1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/>
    <xf numFmtId="0" fontId="8" fillId="0" borderId="0" xfId="0" applyFont="1" applyFill="1" applyBorder="1" applyAlignment="1">
      <alignment horizontal="center"/>
    </xf>
    <xf numFmtId="2" fontId="8" fillId="0" borderId="0" xfId="0" applyNumberFormat="1" applyFont="1"/>
    <xf numFmtId="0" fontId="8" fillId="0" borderId="0" xfId="0" applyFont="1" applyBorder="1"/>
    <xf numFmtId="0" fontId="8" fillId="0" borderId="0" xfId="0" applyFont="1" applyFill="1" applyBorder="1"/>
    <xf numFmtId="0" fontId="4" fillId="2" borderId="0" xfId="1" applyFont="1" applyFill="1" applyAlignment="1">
      <alignment horizontal="center"/>
    </xf>
    <xf numFmtId="0" fontId="4" fillId="2" borderId="0" xfId="1" applyFont="1" applyFill="1"/>
    <xf numFmtId="0" fontId="9" fillId="2" borderId="0" xfId="1" applyFont="1" applyFill="1" applyBorder="1" applyAlignment="1">
      <alignment horizontal="center"/>
    </xf>
    <xf numFmtId="0" fontId="4" fillId="2" borderId="0" xfId="0" applyFont="1" applyFill="1"/>
    <xf numFmtId="4" fontId="4" fillId="2" borderId="14" xfId="1" applyNumberFormat="1" applyFont="1" applyFill="1" applyBorder="1" applyAlignment="1">
      <alignment horizontal="right"/>
    </xf>
    <xf numFmtId="4" fontId="4" fillId="2" borderId="34" xfId="0" applyNumberFormat="1" applyFont="1" applyFill="1" applyBorder="1"/>
    <xf numFmtId="4" fontId="4" fillId="2" borderId="14" xfId="0" applyNumberFormat="1" applyFont="1" applyFill="1" applyBorder="1"/>
    <xf numFmtId="4" fontId="4" fillId="2" borderId="14" xfId="0" applyNumberFormat="1" applyFont="1" applyFill="1" applyBorder="1" applyAlignment="1">
      <alignment horizontal="center"/>
    </xf>
    <xf numFmtId="4" fontId="4" fillId="2" borderId="14" xfId="1" applyNumberFormat="1" applyFont="1" applyFill="1" applyBorder="1" applyAlignment="1">
      <alignment horizontal="right" vertical="center"/>
    </xf>
    <xf numFmtId="4" fontId="7" fillId="2" borderId="0" xfId="1" applyNumberFormat="1" applyFont="1" applyFill="1" applyBorder="1" applyAlignment="1"/>
    <xf numFmtId="0" fontId="7" fillId="2" borderId="0" xfId="1" applyFont="1" applyFill="1" applyBorder="1" applyAlignment="1"/>
    <xf numFmtId="4" fontId="4" fillId="2" borderId="1" xfId="1" applyNumberFormat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vertical="top"/>
    </xf>
    <xf numFmtId="0" fontId="3" fillId="2" borderId="11" xfId="1" applyFont="1" applyFill="1" applyBorder="1" applyAlignment="1">
      <alignment horizontal="center"/>
    </xf>
    <xf numFmtId="4" fontId="3" fillId="2" borderId="16" xfId="1" applyNumberFormat="1" applyFont="1" applyFill="1" applyBorder="1" applyAlignment="1">
      <alignment horizontal="center"/>
    </xf>
    <xf numFmtId="4" fontId="3" fillId="2" borderId="37" xfId="1" applyNumberFormat="1" applyFont="1" applyFill="1" applyBorder="1" applyAlignment="1">
      <alignment horizontal="center"/>
    </xf>
    <xf numFmtId="4" fontId="3" fillId="2" borderId="0" xfId="1" applyNumberFormat="1" applyFont="1" applyFill="1" applyBorder="1" applyAlignment="1">
      <alignment horizontal="center"/>
    </xf>
    <xf numFmtId="4" fontId="3" fillId="2" borderId="10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4" fontId="3" fillId="2" borderId="0" xfId="1" applyNumberFormat="1" applyFont="1" applyFill="1" applyBorder="1" applyAlignment="1">
      <alignment horizontal="right"/>
    </xf>
    <xf numFmtId="4" fontId="3" fillId="2" borderId="0" xfId="0" applyNumberFormat="1" applyFont="1" applyFill="1" applyBorder="1"/>
    <xf numFmtId="0" fontId="4" fillId="2" borderId="0" xfId="1" applyFont="1" applyFill="1" applyBorder="1" applyAlignment="1">
      <alignment horizontal="center"/>
    </xf>
    <xf numFmtId="0" fontId="4" fillId="2" borderId="0" xfId="0" applyFont="1" applyFill="1" applyBorder="1"/>
    <xf numFmtId="4" fontId="4" fillId="2" borderId="14" xfId="1" applyNumberFormat="1" applyFont="1" applyFill="1" applyBorder="1" applyAlignment="1">
      <alignment horizontal="center"/>
    </xf>
    <xf numFmtId="4" fontId="4" fillId="2" borderId="1" xfId="0" applyNumberFormat="1" applyFont="1" applyFill="1" applyBorder="1"/>
    <xf numFmtId="2" fontId="8" fillId="2" borderId="1" xfId="0" applyNumberFormat="1" applyFont="1" applyFill="1" applyBorder="1"/>
    <xf numFmtId="4" fontId="4" fillId="2" borderId="39" xfId="0" applyNumberFormat="1" applyFont="1" applyFill="1" applyBorder="1"/>
    <xf numFmtId="4" fontId="3" fillId="2" borderId="11" xfId="1" applyNumberFormat="1" applyFont="1" applyFill="1" applyBorder="1" applyAlignment="1">
      <alignment horizontal="center"/>
    </xf>
    <xf numFmtId="4" fontId="3" fillId="2" borderId="40" xfId="1" applyNumberFormat="1" applyFont="1" applyFill="1" applyBorder="1" applyAlignment="1">
      <alignment horizontal="center"/>
    </xf>
    <xf numFmtId="3" fontId="3" fillId="2" borderId="0" xfId="1" applyNumberFormat="1" applyFont="1" applyFill="1" applyBorder="1" applyAlignment="1">
      <alignment horizontal="center"/>
    </xf>
    <xf numFmtId="4" fontId="3" fillId="2" borderId="28" xfId="1" applyNumberFormat="1" applyFont="1" applyFill="1" applyBorder="1" applyAlignment="1">
      <alignment horizontal="center"/>
    </xf>
    <xf numFmtId="4" fontId="3" fillId="2" borderId="41" xfId="1" applyNumberFormat="1" applyFont="1" applyFill="1" applyBorder="1" applyAlignment="1">
      <alignment horizontal="center"/>
    </xf>
    <xf numFmtId="4" fontId="8" fillId="2" borderId="0" xfId="0" applyNumberFormat="1" applyFont="1" applyFill="1"/>
    <xf numFmtId="0" fontId="8" fillId="2" borderId="0" xfId="0" applyFont="1" applyFill="1" applyAlignment="1">
      <alignment horizontal="left"/>
    </xf>
    <xf numFmtId="0" fontId="19" fillId="2" borderId="0" xfId="0" applyFont="1" applyFill="1"/>
    <xf numFmtId="4" fontId="4" fillId="2" borderId="34" xfId="0" applyNumberFormat="1" applyFont="1" applyFill="1" applyBorder="1" applyAlignment="1">
      <alignment horizontal="right"/>
    </xf>
    <xf numFmtId="3" fontId="3" fillId="2" borderId="28" xfId="1" applyNumberFormat="1" applyFont="1" applyFill="1" applyBorder="1" applyAlignment="1">
      <alignment horizontal="center"/>
    </xf>
    <xf numFmtId="0" fontId="3" fillId="2" borderId="28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wrapText="1"/>
    </xf>
    <xf numFmtId="4" fontId="4" fillId="2" borderId="5" xfId="0" applyNumberFormat="1" applyFont="1" applyFill="1" applyBorder="1"/>
    <xf numFmtId="0" fontId="4" fillId="2" borderId="14" xfId="0" applyFont="1" applyFill="1" applyBorder="1" applyAlignment="1">
      <alignment horizontal="center" wrapText="1"/>
    </xf>
    <xf numFmtId="0" fontId="8" fillId="2" borderId="14" xfId="0" applyFont="1" applyFill="1" applyBorder="1"/>
    <xf numFmtId="0" fontId="4" fillId="2" borderId="1" xfId="0" applyFont="1" applyFill="1" applyBorder="1" applyAlignment="1">
      <alignment horizontal="center" wrapText="1"/>
    </xf>
    <xf numFmtId="17" fontId="4" fillId="2" borderId="0" xfId="0" applyNumberFormat="1" applyFont="1" applyFill="1" applyBorder="1" applyAlignment="1">
      <alignment horizontal="center" vertical="center" wrapText="1"/>
    </xf>
    <xf numFmtId="4" fontId="4" fillId="2" borderId="34" xfId="0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vertical="top"/>
    </xf>
    <xf numFmtId="0" fontId="4" fillId="2" borderId="8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vertical="top" wrapText="1"/>
    </xf>
    <xf numFmtId="2" fontId="4" fillId="2" borderId="1" xfId="0" applyNumberFormat="1" applyFont="1" applyFill="1" applyBorder="1" applyAlignment="1">
      <alignment vertical="center" wrapText="1"/>
    </xf>
    <xf numFmtId="0" fontId="2" fillId="0" borderId="0" xfId="1" applyFont="1" applyFill="1" applyBorder="1" applyAlignment="1"/>
    <xf numFmtId="2" fontId="4" fillId="2" borderId="50" xfId="0" applyNumberFormat="1" applyFont="1" applyFill="1" applyBorder="1" applyAlignment="1">
      <alignment vertical="center" wrapText="1"/>
    </xf>
    <xf numFmtId="4" fontId="4" fillId="2" borderId="5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vertical="center" wrapText="1"/>
    </xf>
    <xf numFmtId="4" fontId="4" fillId="0" borderId="14" xfId="0" applyNumberFormat="1" applyFont="1" applyFill="1" applyBorder="1"/>
    <xf numFmtId="4" fontId="4" fillId="0" borderId="1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8" fontId="2" fillId="2" borderId="37" xfId="1" applyNumberFormat="1" applyFont="1" applyFill="1" applyBorder="1" applyAlignment="1">
      <alignment horizontal="center"/>
    </xf>
    <xf numFmtId="9" fontId="1" fillId="0" borderId="0" xfId="0" applyNumberFormat="1" applyFont="1" applyFill="1" applyBorder="1" applyAlignment="1"/>
    <xf numFmtId="0" fontId="2" fillId="0" borderId="0" xfId="1" applyFont="1" applyFill="1" applyBorder="1" applyAlignment="1">
      <alignment horizontal="center"/>
    </xf>
    <xf numFmtId="4" fontId="2" fillId="0" borderId="37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vertical="center"/>
    </xf>
    <xf numFmtId="2" fontId="4" fillId="2" borderId="1" xfId="1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4" fontId="2" fillId="2" borderId="47" xfId="1" applyNumberFormat="1" applyFont="1" applyFill="1" applyBorder="1" applyAlignment="1">
      <alignment horizontal="center"/>
    </xf>
    <xf numFmtId="4" fontId="2" fillId="2" borderId="27" xfId="1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right" vertical="center" wrapText="1"/>
    </xf>
    <xf numFmtId="17" fontId="4" fillId="2" borderId="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wrapText="1"/>
    </xf>
    <xf numFmtId="2" fontId="5" fillId="0" borderId="0" xfId="1" applyNumberFormat="1" applyFont="1" applyFill="1" applyBorder="1" applyAlignment="1"/>
    <xf numFmtId="0" fontId="20" fillId="5" borderId="63" xfId="0" applyFont="1" applyFill="1" applyBorder="1"/>
    <xf numFmtId="4" fontId="8" fillId="0" borderId="50" xfId="0" applyNumberFormat="1" applyFont="1" applyBorder="1"/>
    <xf numFmtId="0" fontId="20" fillId="5" borderId="49" xfId="0" applyFont="1" applyFill="1" applyBorder="1"/>
    <xf numFmtId="0" fontId="20" fillId="5" borderId="45" xfId="0" applyFont="1" applyFill="1" applyBorder="1"/>
    <xf numFmtId="166" fontId="8" fillId="4" borderId="48" xfId="0" applyNumberFormat="1" applyFont="1" applyFill="1" applyBorder="1"/>
    <xf numFmtId="0" fontId="1" fillId="0" borderId="1" xfId="0" applyFont="1" applyFill="1" applyBorder="1"/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4" fontId="4" fillId="0" borderId="1" xfId="0" applyNumberFormat="1" applyFont="1" applyFill="1" applyBorder="1" applyAlignment="1">
      <alignment horizontal="right" wrapText="1"/>
    </xf>
    <xf numFmtId="0" fontId="3" fillId="0" borderId="0" xfId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4" fontId="3" fillId="2" borderId="29" xfId="1" applyNumberFormat="1" applyFont="1" applyFill="1" applyBorder="1" applyAlignment="1">
      <alignment horizontal="center"/>
    </xf>
    <xf numFmtId="4" fontId="3" fillId="2" borderId="27" xfId="1" applyNumberFormat="1" applyFont="1" applyFill="1" applyBorder="1" applyAlignment="1">
      <alignment horizontal="center"/>
    </xf>
    <xf numFmtId="4" fontId="3" fillId="2" borderId="47" xfId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right" vertical="center"/>
    </xf>
    <xf numFmtId="0" fontId="21" fillId="2" borderId="0" xfId="0" applyFont="1" applyFill="1" applyBorder="1"/>
    <xf numFmtId="0" fontId="6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vertical="center"/>
    </xf>
    <xf numFmtId="4" fontId="3" fillId="2" borderId="33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17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/>
    <xf numFmtId="17" fontId="4" fillId="0" borderId="1" xfId="0" applyNumberFormat="1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vertical="center"/>
    </xf>
    <xf numFmtId="2" fontId="8" fillId="2" borderId="1" xfId="0" applyNumberFormat="1" applyFont="1" applyFill="1" applyBorder="1" applyAlignment="1">
      <alignment vertical="center"/>
    </xf>
    <xf numFmtId="4" fontId="4" fillId="2" borderId="6" xfId="1" applyNumberFormat="1" applyFont="1" applyFill="1" applyBorder="1" applyAlignment="1">
      <alignment horizontal="center"/>
    </xf>
    <xf numFmtId="2" fontId="8" fillId="2" borderId="4" xfId="0" applyNumberFormat="1" applyFont="1" applyFill="1" applyBorder="1" applyAlignment="1">
      <alignment horizontal="center" vertical="center"/>
    </xf>
    <xf numFmtId="2" fontId="8" fillId="2" borderId="14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3" fontId="2" fillId="0" borderId="1" xfId="1" applyNumberFormat="1" applyFont="1" applyFill="1" applyBorder="1" applyAlignment="1">
      <alignment horizontal="center"/>
    </xf>
    <xf numFmtId="4" fontId="2" fillId="0" borderId="1" xfId="1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right" vertical="center" wrapText="1"/>
    </xf>
    <xf numFmtId="4" fontId="2" fillId="0" borderId="1" xfId="1" applyNumberFormat="1" applyFont="1" applyFill="1" applyBorder="1" applyAlignment="1">
      <alignment horizontal="right"/>
    </xf>
    <xf numFmtId="4" fontId="4" fillId="2" borderId="6" xfId="1" applyNumberFormat="1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 wrapText="1"/>
    </xf>
    <xf numFmtId="4" fontId="3" fillId="2" borderId="67" xfId="1" applyNumberFormat="1" applyFont="1" applyFill="1" applyBorder="1" applyAlignment="1">
      <alignment horizontal="center"/>
    </xf>
    <xf numFmtId="4" fontId="3" fillId="2" borderId="68" xfId="1" applyNumberFormat="1" applyFont="1" applyFill="1" applyBorder="1" applyAlignment="1">
      <alignment horizontal="center"/>
    </xf>
    <xf numFmtId="4" fontId="4" fillId="0" borderId="3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/>
    </xf>
    <xf numFmtId="2" fontId="4" fillId="2" borderId="34" xfId="0" applyNumberFormat="1" applyFont="1" applyFill="1" applyBorder="1"/>
    <xf numFmtId="3" fontId="4" fillId="2" borderId="49" xfId="1" applyNumberFormat="1" applyFont="1" applyFill="1" applyBorder="1" applyAlignment="1">
      <alignment horizontal="center" vertical="center"/>
    </xf>
    <xf numFmtId="3" fontId="4" fillId="2" borderId="56" xfId="1" applyNumberFormat="1" applyFont="1" applyFill="1" applyBorder="1" applyAlignment="1">
      <alignment horizontal="center" vertical="center"/>
    </xf>
    <xf numFmtId="3" fontId="4" fillId="2" borderId="50" xfId="1" applyNumberFormat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 wrapText="1"/>
    </xf>
    <xf numFmtId="4" fontId="8" fillId="4" borderId="10" xfId="0" applyNumberFormat="1" applyFont="1" applyFill="1" applyBorder="1" applyAlignment="1">
      <alignment horizontal="center"/>
    </xf>
    <xf numFmtId="4" fontId="8" fillId="4" borderId="16" xfId="0" applyNumberFormat="1" applyFont="1" applyFill="1" applyBorder="1" applyAlignment="1">
      <alignment horizontal="center"/>
    </xf>
    <xf numFmtId="4" fontId="8" fillId="4" borderId="37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30" xfId="1" applyFont="1" applyFill="1" applyBorder="1" applyAlignment="1">
      <alignment horizontal="center" vertical="center" wrapText="1"/>
    </xf>
    <xf numFmtId="0" fontId="3" fillId="0" borderId="58" xfId="1" applyFont="1" applyFill="1" applyBorder="1" applyAlignment="1">
      <alignment horizontal="center" vertical="center" wrapText="1"/>
    </xf>
    <xf numFmtId="0" fontId="3" fillId="0" borderId="64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5" fillId="0" borderId="1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5" fillId="0" borderId="16" xfId="1" applyFont="1" applyFill="1" applyBorder="1" applyAlignment="1">
      <alignment horizontal="center"/>
    </xf>
    <xf numFmtId="0" fontId="5" fillId="0" borderId="37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4" xfId="1" applyFont="1" applyFill="1" applyBorder="1" applyAlignment="1">
      <alignment horizontal="center" vertical="center" wrapText="1"/>
    </xf>
    <xf numFmtId="0" fontId="3" fillId="0" borderId="39" xfId="1" applyFont="1" applyFill="1" applyBorder="1" applyAlignment="1">
      <alignment horizontal="center" vertical="center" wrapText="1"/>
    </xf>
    <xf numFmtId="0" fontId="3" fillId="0" borderId="45" xfId="1" applyFont="1" applyFill="1" applyBorder="1" applyAlignment="1">
      <alignment horizontal="center" vertical="center" wrapText="1"/>
    </xf>
    <xf numFmtId="0" fontId="3" fillId="0" borderId="65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46" xfId="1" applyFont="1" applyFill="1" applyBorder="1" applyAlignment="1">
      <alignment horizontal="center" vertical="center" wrapText="1"/>
    </xf>
    <xf numFmtId="0" fontId="3" fillId="0" borderId="66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vertical="center" wrapText="1"/>
    </xf>
    <xf numFmtId="3" fontId="4" fillId="2" borderId="56" xfId="0" applyNumberFormat="1" applyFont="1" applyFill="1" applyBorder="1" applyAlignment="1">
      <alignment horizontal="center" vertical="center" wrapText="1"/>
    </xf>
    <xf numFmtId="3" fontId="4" fillId="2" borderId="5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2" fillId="0" borderId="17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4" fillId="2" borderId="62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5" fillId="6" borderId="11" xfId="1" applyFont="1" applyFill="1" applyBorder="1" applyAlignment="1">
      <alignment horizontal="center"/>
    </xf>
    <xf numFmtId="0" fontId="5" fillId="6" borderId="2" xfId="1" applyFont="1" applyFill="1" applyBorder="1" applyAlignment="1">
      <alignment horizontal="center"/>
    </xf>
    <xf numFmtId="0" fontId="5" fillId="6" borderId="12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4" fillId="2" borderId="62" xfId="1" applyFont="1" applyFill="1" applyBorder="1" applyAlignment="1">
      <alignment horizontal="center"/>
    </xf>
    <xf numFmtId="0" fontId="4" fillId="2" borderId="54" xfId="1" applyFont="1" applyFill="1" applyBorder="1" applyAlignment="1">
      <alignment horizontal="center"/>
    </xf>
    <xf numFmtId="0" fontId="4" fillId="2" borderId="32" xfId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top" wrapText="1"/>
    </xf>
    <xf numFmtId="0" fontId="4" fillId="2" borderId="3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/>
    </xf>
    <xf numFmtId="0" fontId="2" fillId="6" borderId="2" xfId="1" applyFont="1" applyFill="1" applyBorder="1" applyAlignment="1">
      <alignment horizontal="center"/>
    </xf>
    <xf numFmtId="0" fontId="2" fillId="6" borderId="12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top" wrapText="1"/>
    </xf>
    <xf numFmtId="0" fontId="14" fillId="2" borderId="36" xfId="0" applyFont="1" applyFill="1" applyBorder="1" applyAlignment="1">
      <alignment horizontal="center" vertical="top" wrapText="1"/>
    </xf>
    <xf numFmtId="0" fontId="14" fillId="2" borderId="2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15" fillId="2" borderId="36" xfId="0" applyFont="1" applyFill="1" applyBorder="1" applyAlignment="1">
      <alignment horizontal="center" vertical="top" wrapText="1"/>
    </xf>
    <xf numFmtId="0" fontId="15" fillId="2" borderId="27" xfId="0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top" wrapText="1"/>
    </xf>
    <xf numFmtId="0" fontId="13" fillId="2" borderId="27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69" xfId="1" applyFont="1" applyFill="1" applyBorder="1" applyAlignment="1">
      <alignment horizontal="center" vertical="center" wrapText="1"/>
    </xf>
    <xf numFmtId="0" fontId="2" fillId="2" borderId="59" xfId="1" applyFont="1" applyFill="1" applyBorder="1" applyAlignment="1">
      <alignment horizontal="center" vertical="center" wrapText="1"/>
    </xf>
    <xf numFmtId="0" fontId="2" fillId="2" borderId="45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60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top" wrapText="1"/>
    </xf>
    <xf numFmtId="0" fontId="21" fillId="6" borderId="49" xfId="0" applyFont="1" applyFill="1" applyBorder="1" applyAlignment="1">
      <alignment horizontal="center"/>
    </xf>
    <xf numFmtId="0" fontId="21" fillId="6" borderId="56" xfId="0" applyFont="1" applyFill="1" applyBorder="1" applyAlignment="1">
      <alignment horizontal="center"/>
    </xf>
    <xf numFmtId="0" fontId="21" fillId="6" borderId="50" xfId="0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 vertical="center" wrapText="1"/>
    </xf>
    <xf numFmtId="4" fontId="4" fillId="2" borderId="21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/>
    </xf>
    <xf numFmtId="4" fontId="4" fillId="2" borderId="24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2" fontId="4" fillId="0" borderId="49" xfId="0" applyNumberFormat="1" applyFont="1" applyFill="1" applyBorder="1" applyAlignment="1">
      <alignment horizontal="center" vertical="center"/>
    </xf>
    <xf numFmtId="2" fontId="4" fillId="0" borderId="56" xfId="0" applyNumberFormat="1" applyFont="1" applyFill="1" applyBorder="1" applyAlignment="1">
      <alignment horizontal="center" vertical="center"/>
    </xf>
    <xf numFmtId="2" fontId="4" fillId="0" borderId="50" xfId="0" applyNumberFormat="1" applyFont="1" applyFill="1" applyBorder="1" applyAlignment="1">
      <alignment horizontal="center" vertical="center"/>
    </xf>
    <xf numFmtId="4" fontId="4" fillId="0" borderId="49" xfId="1" applyNumberFormat="1" applyFont="1" applyFill="1" applyBorder="1" applyAlignment="1">
      <alignment horizontal="center" vertical="center"/>
    </xf>
    <xf numFmtId="4" fontId="4" fillId="0" borderId="56" xfId="1" applyNumberFormat="1" applyFont="1" applyFill="1" applyBorder="1" applyAlignment="1">
      <alignment horizontal="center" vertical="center"/>
    </xf>
    <xf numFmtId="4" fontId="4" fillId="0" borderId="50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07"/>
  <sheetViews>
    <sheetView tabSelected="1" topLeftCell="A34" zoomScale="80" zoomScaleNormal="80" workbookViewId="0">
      <selection activeCell="U13" sqref="U13"/>
    </sheetView>
  </sheetViews>
  <sheetFormatPr baseColWidth="10" defaultColWidth="11.42578125" defaultRowHeight="12" x14ac:dyDescent="0.2"/>
  <cols>
    <col min="1" max="1" width="6.5703125" style="69" customWidth="1"/>
    <col min="2" max="2" width="13.140625" style="69" customWidth="1"/>
    <col min="3" max="3" width="7.42578125" style="69" customWidth="1"/>
    <col min="4" max="4" width="8.7109375" style="69" customWidth="1"/>
    <col min="5" max="5" width="8.85546875" style="69" customWidth="1"/>
    <col min="6" max="6" width="13.7109375" style="69" customWidth="1"/>
    <col min="7" max="7" width="13" style="69" customWidth="1"/>
    <col min="8" max="8" width="10" style="69" customWidth="1"/>
    <col min="9" max="9" width="11.140625" style="69" customWidth="1"/>
    <col min="10" max="10" width="11.5703125" style="69" customWidth="1"/>
    <col min="11" max="12" width="11.42578125" style="69"/>
    <col min="13" max="13" width="12.42578125" style="69" customWidth="1"/>
    <col min="14" max="16" width="11.42578125" style="69"/>
    <col min="17" max="17" width="14" style="69" customWidth="1"/>
    <col min="18" max="18" width="19.28515625" style="69" customWidth="1"/>
    <col min="19" max="19" width="11.42578125" style="69"/>
    <col min="20" max="20" width="3.28515625" style="69" customWidth="1"/>
    <col min="21" max="21" width="11.7109375" style="69" customWidth="1"/>
    <col min="22" max="22" width="8.28515625" style="69" customWidth="1"/>
    <col min="23" max="23" width="9.28515625" style="69" customWidth="1"/>
    <col min="24" max="24" width="9" style="69" customWidth="1"/>
    <col min="25" max="25" width="8.28515625" style="69" customWidth="1"/>
    <col min="26" max="26" width="8.42578125" style="69" customWidth="1"/>
    <col min="27" max="27" width="8.5703125" style="69" customWidth="1"/>
    <col min="28" max="28" width="11.140625" style="69" customWidth="1"/>
    <col min="29" max="29" width="8.7109375" style="69" customWidth="1"/>
    <col min="30" max="30" width="8.85546875" style="69" customWidth="1"/>
    <col min="31" max="31" width="8.140625" style="69" customWidth="1"/>
    <col min="32" max="32" width="9.28515625" style="69" customWidth="1"/>
    <col min="33" max="33" width="9.140625" style="69" customWidth="1"/>
    <col min="34" max="34" width="3.85546875" style="69" customWidth="1"/>
    <col min="35" max="35" width="10.28515625" style="69" customWidth="1"/>
    <col min="36" max="36" width="10.5703125" style="69" customWidth="1"/>
    <col min="37" max="37" width="11.28515625" style="69" customWidth="1"/>
    <col min="38" max="38" width="9.28515625" style="69" customWidth="1"/>
    <col min="39" max="39" width="13.28515625" style="69" customWidth="1"/>
    <col min="40" max="40" width="14" style="69" customWidth="1"/>
    <col min="41" max="41" width="8.85546875" style="69" customWidth="1"/>
    <col min="42" max="42" width="11.7109375" style="69" customWidth="1"/>
    <col min="43" max="43" width="8.7109375" style="69" customWidth="1"/>
    <col min="44" max="44" width="11.28515625" style="69" customWidth="1"/>
    <col min="45" max="45" width="10.5703125" style="69" customWidth="1"/>
    <col min="46" max="46" width="9.140625" style="69" customWidth="1"/>
    <col min="47" max="16384" width="11.42578125" style="69"/>
  </cols>
  <sheetData>
    <row r="1" spans="2:35" ht="20.25" customHeight="1" thickBot="1" x14ac:dyDescent="0.25"/>
    <row r="2" spans="2:35" ht="15" customHeight="1" thickBot="1" x14ac:dyDescent="0.3">
      <c r="B2" s="313" t="s">
        <v>110</v>
      </c>
      <c r="C2" s="314"/>
      <c r="D2" s="314"/>
      <c r="E2" s="314"/>
      <c r="F2" s="314"/>
      <c r="G2" s="314"/>
      <c r="H2" s="314"/>
      <c r="I2" s="315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</row>
    <row r="3" spans="2:35" ht="20.25" customHeight="1" x14ac:dyDescent="0.25">
      <c r="B3" s="337" t="s">
        <v>43</v>
      </c>
      <c r="C3" s="337"/>
      <c r="D3" s="337"/>
      <c r="E3" s="337"/>
      <c r="F3" s="337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</row>
    <row r="4" spans="2:35" ht="17.25" customHeight="1" x14ac:dyDescent="0.25">
      <c r="B4" s="337" t="s">
        <v>44</v>
      </c>
      <c r="C4" s="337"/>
      <c r="D4" s="337"/>
      <c r="E4" s="337"/>
      <c r="F4" s="337"/>
      <c r="L4" s="39"/>
      <c r="M4" s="39"/>
      <c r="N4" s="39"/>
      <c r="O4" s="39"/>
      <c r="P4" s="39"/>
      <c r="Q4" s="1"/>
      <c r="R4" s="1"/>
      <c r="S4" s="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</row>
    <row r="5" spans="2:35" ht="16.5" customHeight="1" x14ac:dyDescent="0.25">
      <c r="B5" s="337" t="s">
        <v>45</v>
      </c>
      <c r="C5" s="337"/>
      <c r="D5" s="337"/>
      <c r="E5" s="337"/>
      <c r="F5" s="337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</row>
    <row r="6" spans="2:35" ht="16.5" customHeight="1" thickBot="1" x14ac:dyDescent="0.3">
      <c r="B6" s="337" t="s">
        <v>46</v>
      </c>
      <c r="C6" s="337"/>
      <c r="D6" s="337"/>
      <c r="E6" s="337"/>
      <c r="F6" s="337"/>
      <c r="P6" s="42"/>
      <c r="Q6" s="42"/>
      <c r="R6" s="42"/>
      <c r="S6" s="42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</row>
    <row r="7" spans="2:35" ht="22.5" customHeight="1" thickBot="1" x14ac:dyDescent="0.3">
      <c r="B7" s="337" t="s">
        <v>47</v>
      </c>
      <c r="C7" s="337"/>
      <c r="D7" s="337"/>
      <c r="E7" s="337"/>
      <c r="F7" s="337"/>
      <c r="L7" s="319" t="s">
        <v>110</v>
      </c>
      <c r="M7" s="320"/>
      <c r="N7" s="320"/>
      <c r="O7" s="320"/>
      <c r="P7" s="320"/>
      <c r="Q7" s="320"/>
      <c r="R7" s="321"/>
      <c r="S7" s="246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</row>
    <row r="8" spans="2:35" ht="18.75" customHeight="1" thickBot="1" x14ac:dyDescent="0.3">
      <c r="B8" s="247"/>
      <c r="C8" s="247"/>
      <c r="D8" s="247"/>
      <c r="E8" s="247"/>
      <c r="F8" s="247"/>
      <c r="L8" s="322" t="s">
        <v>48</v>
      </c>
      <c r="M8" s="322"/>
      <c r="N8" s="322"/>
      <c r="O8" s="322"/>
      <c r="P8" s="322"/>
      <c r="Q8" s="322"/>
      <c r="R8" s="322"/>
      <c r="S8" s="248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</row>
    <row r="9" spans="2:35" ht="20.25" customHeight="1" x14ac:dyDescent="0.25">
      <c r="B9" s="338" t="s">
        <v>49</v>
      </c>
      <c r="C9" s="339" t="s">
        <v>1</v>
      </c>
      <c r="D9" s="340" t="s">
        <v>0</v>
      </c>
      <c r="E9" s="341" t="s">
        <v>7</v>
      </c>
      <c r="F9" s="323" t="s">
        <v>50</v>
      </c>
      <c r="G9" s="323"/>
      <c r="H9" s="323"/>
      <c r="I9" s="323" t="s">
        <v>9</v>
      </c>
      <c r="L9" s="324" t="s">
        <v>1</v>
      </c>
      <c r="M9" s="326" t="s">
        <v>0</v>
      </c>
      <c r="N9" s="326" t="s">
        <v>7</v>
      </c>
      <c r="O9" s="328" t="s">
        <v>8</v>
      </c>
      <c r="P9" s="328"/>
      <c r="Q9" s="328"/>
      <c r="R9" s="329" t="s">
        <v>9</v>
      </c>
      <c r="S9" s="216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</row>
    <row r="10" spans="2:35" ht="26.25" customHeight="1" x14ac:dyDescent="0.25">
      <c r="B10" s="338"/>
      <c r="C10" s="339"/>
      <c r="D10" s="340"/>
      <c r="E10" s="341"/>
      <c r="F10" s="323"/>
      <c r="G10" s="323"/>
      <c r="H10" s="323"/>
      <c r="I10" s="323"/>
      <c r="L10" s="325"/>
      <c r="M10" s="327"/>
      <c r="N10" s="327"/>
      <c r="O10" s="323"/>
      <c r="P10" s="323"/>
      <c r="Q10" s="323"/>
      <c r="R10" s="330"/>
      <c r="S10" s="216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</row>
    <row r="11" spans="2:35" ht="18" customHeight="1" x14ac:dyDescent="0.25">
      <c r="B11" s="338"/>
      <c r="C11" s="339"/>
      <c r="D11" s="340"/>
      <c r="E11" s="341"/>
      <c r="F11" s="323" t="s">
        <v>51</v>
      </c>
      <c r="G11" s="323" t="s">
        <v>52</v>
      </c>
      <c r="H11" s="323" t="s">
        <v>53</v>
      </c>
      <c r="I11" s="323"/>
      <c r="L11" s="325"/>
      <c r="M11" s="327"/>
      <c r="N11" s="327"/>
      <c r="O11" s="331" t="s">
        <v>54</v>
      </c>
      <c r="P11" s="333" t="s">
        <v>105</v>
      </c>
      <c r="Q11" s="335" t="s">
        <v>56</v>
      </c>
      <c r="R11" s="330"/>
      <c r="S11" s="216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</row>
    <row r="12" spans="2:35" ht="42.75" customHeight="1" x14ac:dyDescent="0.25">
      <c r="B12" s="338"/>
      <c r="C12" s="339"/>
      <c r="D12" s="340"/>
      <c r="E12" s="341"/>
      <c r="F12" s="323"/>
      <c r="G12" s="323"/>
      <c r="H12" s="323"/>
      <c r="I12" s="323"/>
      <c r="L12" s="325"/>
      <c r="M12" s="327"/>
      <c r="N12" s="327"/>
      <c r="O12" s="332"/>
      <c r="P12" s="334"/>
      <c r="Q12" s="336"/>
      <c r="R12" s="330"/>
      <c r="S12" s="216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</row>
    <row r="13" spans="2:35" ht="17.25" customHeight="1" x14ac:dyDescent="0.25">
      <c r="B13" s="228" t="s">
        <v>57</v>
      </c>
      <c r="C13" s="304">
        <v>43101</v>
      </c>
      <c r="D13" s="240">
        <v>7</v>
      </c>
      <c r="E13" s="138">
        <v>387.5</v>
      </c>
      <c r="F13" s="252">
        <v>49860</v>
      </c>
      <c r="G13" s="245">
        <v>49270</v>
      </c>
      <c r="H13" s="226">
        <f>+F13-G13</f>
        <v>590</v>
      </c>
      <c r="I13" s="227">
        <f t="shared" ref="I13:I20" si="0">+H13/D13</f>
        <v>84.285714285714292</v>
      </c>
      <c r="L13" s="254">
        <v>43101</v>
      </c>
      <c r="M13" s="3">
        <v>227</v>
      </c>
      <c r="N13" s="63">
        <v>33089.379999999997</v>
      </c>
      <c r="O13" s="70">
        <v>9702</v>
      </c>
      <c r="P13" s="70">
        <v>44898</v>
      </c>
      <c r="Q13" s="71">
        <f>SUM(O13:P13)</f>
        <v>54600</v>
      </c>
      <c r="R13" s="71">
        <f>+Q13/M13</f>
        <v>240.52863436123349</v>
      </c>
      <c r="S13" s="40"/>
      <c r="T13" s="41"/>
      <c r="U13" s="206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</row>
    <row r="14" spans="2:35" ht="18" customHeight="1" x14ac:dyDescent="0.25">
      <c r="B14" s="212" t="s">
        <v>58</v>
      </c>
      <c r="C14" s="304"/>
      <c r="D14" s="240">
        <v>4</v>
      </c>
      <c r="E14" s="198">
        <v>119.55</v>
      </c>
      <c r="F14" s="198" t="s">
        <v>112</v>
      </c>
      <c r="G14" s="221" t="s">
        <v>112</v>
      </c>
      <c r="H14" s="226">
        <v>194</v>
      </c>
      <c r="I14" s="227">
        <f t="shared" si="0"/>
        <v>48.5</v>
      </c>
      <c r="J14" s="73" t="s">
        <v>100</v>
      </c>
      <c r="L14" s="254">
        <v>43132</v>
      </c>
      <c r="M14" s="3">
        <v>227</v>
      </c>
      <c r="N14" s="63">
        <v>34006.550000000003</v>
      </c>
      <c r="O14" s="70">
        <v>11512.5</v>
      </c>
      <c r="P14" s="70">
        <v>50949</v>
      </c>
      <c r="Q14" s="71">
        <f>SUM(O14:P14)</f>
        <v>62461.5</v>
      </c>
      <c r="R14" s="71">
        <f>+Q14/M14</f>
        <v>275.16079295154185</v>
      </c>
      <c r="S14" s="40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</row>
    <row r="15" spans="2:35" ht="18" customHeight="1" x14ac:dyDescent="0.25">
      <c r="B15" s="212" t="s">
        <v>59</v>
      </c>
      <c r="C15" s="304"/>
      <c r="D15" s="240">
        <v>4</v>
      </c>
      <c r="E15" s="198">
        <v>218.82</v>
      </c>
      <c r="F15" s="261">
        <v>43448</v>
      </c>
      <c r="G15" s="245">
        <v>43107</v>
      </c>
      <c r="H15" s="226">
        <f t="shared" ref="H15" si="1">+F15-G15</f>
        <v>341</v>
      </c>
      <c r="I15" s="227">
        <f t="shared" si="0"/>
        <v>85.25</v>
      </c>
      <c r="L15" s="254">
        <v>43160</v>
      </c>
      <c r="M15" s="2">
        <v>227</v>
      </c>
      <c r="N15" s="255">
        <v>35925.660000000003</v>
      </c>
      <c r="O15" s="255">
        <v>9897</v>
      </c>
      <c r="P15" s="255">
        <v>45628.5</v>
      </c>
      <c r="Q15" s="71">
        <f t="shared" ref="Q15:Q24" si="2">SUM(O15:P15)</f>
        <v>55525.5</v>
      </c>
      <c r="R15" s="71">
        <f>+Q15/M15</f>
        <v>244.60572687224669</v>
      </c>
      <c r="S15" s="40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</row>
    <row r="16" spans="2:35" ht="17.25" customHeight="1" x14ac:dyDescent="0.25">
      <c r="B16" s="212" t="s">
        <v>60</v>
      </c>
      <c r="C16" s="304"/>
      <c r="D16" s="253">
        <v>5</v>
      </c>
      <c r="E16" s="262">
        <v>386.5</v>
      </c>
      <c r="F16" s="261">
        <v>61507</v>
      </c>
      <c r="G16" s="245">
        <v>60810</v>
      </c>
      <c r="H16" s="226">
        <f>+F16-G16</f>
        <v>697</v>
      </c>
      <c r="I16" s="227">
        <f t="shared" si="0"/>
        <v>139.4</v>
      </c>
      <c r="L16" s="254">
        <v>43191</v>
      </c>
      <c r="M16" s="2">
        <v>227</v>
      </c>
      <c r="N16" s="63">
        <v>32439.599999999999</v>
      </c>
      <c r="O16" s="70">
        <v>3072.03</v>
      </c>
      <c r="P16" s="70">
        <v>13728</v>
      </c>
      <c r="Q16" s="71">
        <f t="shared" si="2"/>
        <v>16800.03</v>
      </c>
      <c r="R16" s="71">
        <f t="shared" ref="R16:R24" si="3">+Q16/M16</f>
        <v>74.008942731277529</v>
      </c>
      <c r="S16" s="40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</row>
    <row r="17" spans="2:46" ht="17.25" customHeight="1" x14ac:dyDescent="0.25">
      <c r="B17" s="212" t="s">
        <v>61</v>
      </c>
      <c r="C17" s="304"/>
      <c r="D17" s="240">
        <v>6</v>
      </c>
      <c r="E17" s="198">
        <v>288</v>
      </c>
      <c r="F17" s="261">
        <v>87648</v>
      </c>
      <c r="G17" s="245">
        <v>87005</v>
      </c>
      <c r="H17" s="226">
        <f>+F17-G17</f>
        <v>643</v>
      </c>
      <c r="I17" s="227">
        <f t="shared" si="0"/>
        <v>107.16666666666667</v>
      </c>
      <c r="J17" s="73"/>
      <c r="K17" s="75"/>
      <c r="L17" s="254">
        <v>43221</v>
      </c>
      <c r="M17" s="2">
        <v>227</v>
      </c>
      <c r="N17" s="215">
        <v>32439.599999999999</v>
      </c>
      <c r="O17" s="70">
        <v>3130.47</v>
      </c>
      <c r="P17" s="70">
        <v>13995.65</v>
      </c>
      <c r="Q17" s="71">
        <f t="shared" si="2"/>
        <v>17126.12</v>
      </c>
      <c r="R17" s="71">
        <f t="shared" si="3"/>
        <v>75.445462555066072</v>
      </c>
      <c r="S17" s="40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</row>
    <row r="18" spans="2:46" ht="17.25" customHeight="1" x14ac:dyDescent="0.25">
      <c r="B18" s="228" t="s">
        <v>57</v>
      </c>
      <c r="C18" s="304">
        <v>43132</v>
      </c>
      <c r="D18" s="240">
        <v>7</v>
      </c>
      <c r="E18" s="198">
        <v>429.5</v>
      </c>
      <c r="F18" s="261">
        <v>50504</v>
      </c>
      <c r="G18" s="245">
        <v>49860</v>
      </c>
      <c r="H18" s="226">
        <f>+F18-G18</f>
        <v>644</v>
      </c>
      <c r="I18" s="227">
        <f t="shared" si="0"/>
        <v>92</v>
      </c>
      <c r="L18" s="254">
        <v>43252</v>
      </c>
      <c r="M18" s="2">
        <v>227</v>
      </c>
      <c r="N18" s="63">
        <v>28859.4</v>
      </c>
      <c r="O18" s="70">
        <v>3186.94</v>
      </c>
      <c r="P18" s="70">
        <v>14244.76</v>
      </c>
      <c r="Q18" s="71">
        <f t="shared" si="2"/>
        <v>17431.7</v>
      </c>
      <c r="R18" s="71">
        <f t="shared" si="3"/>
        <v>76.791629955947144</v>
      </c>
      <c r="S18" s="40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</row>
    <row r="19" spans="2:46" ht="17.25" customHeight="1" x14ac:dyDescent="0.25">
      <c r="B19" s="212" t="s">
        <v>58</v>
      </c>
      <c r="C19" s="304"/>
      <c r="D19" s="240">
        <v>4</v>
      </c>
      <c r="E19" s="198">
        <v>247.75</v>
      </c>
      <c r="F19" s="198" t="s">
        <v>112</v>
      </c>
      <c r="G19" s="221" t="s">
        <v>112</v>
      </c>
      <c r="H19" s="226">
        <v>853</v>
      </c>
      <c r="I19" s="227">
        <f t="shared" si="0"/>
        <v>213.25</v>
      </c>
      <c r="J19" s="73" t="s">
        <v>100</v>
      </c>
      <c r="L19" s="254">
        <v>43282</v>
      </c>
      <c r="M19" s="3">
        <v>227</v>
      </c>
      <c r="N19" s="63">
        <v>28218.7</v>
      </c>
      <c r="O19" s="70">
        <v>3241.67</v>
      </c>
      <c r="P19" s="70">
        <v>14482.77</v>
      </c>
      <c r="Q19" s="71">
        <f t="shared" si="2"/>
        <v>17724.440000000002</v>
      </c>
      <c r="R19" s="71">
        <f t="shared" si="3"/>
        <v>78.081233480176223</v>
      </c>
      <c r="S19" s="40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</row>
    <row r="20" spans="2:46" ht="17.25" customHeight="1" x14ac:dyDescent="0.25">
      <c r="B20" s="212" t="s">
        <v>59</v>
      </c>
      <c r="C20" s="304"/>
      <c r="D20" s="240">
        <v>4</v>
      </c>
      <c r="E20" s="198">
        <v>286</v>
      </c>
      <c r="F20" s="261">
        <v>43904</v>
      </c>
      <c r="G20" s="245">
        <v>43448</v>
      </c>
      <c r="H20" s="226">
        <v>242</v>
      </c>
      <c r="I20" s="227">
        <f t="shared" si="0"/>
        <v>60.5</v>
      </c>
      <c r="J20" s="76"/>
      <c r="L20" s="254">
        <v>43313</v>
      </c>
      <c r="M20" s="62">
        <v>227</v>
      </c>
      <c r="N20" s="63">
        <v>28218.7</v>
      </c>
      <c r="O20" s="70">
        <v>3241.67</v>
      </c>
      <c r="P20" s="70">
        <v>14482.77</v>
      </c>
      <c r="Q20" s="71">
        <f t="shared" si="2"/>
        <v>17724.440000000002</v>
      </c>
      <c r="R20" s="71">
        <f t="shared" si="3"/>
        <v>78.081233480176223</v>
      </c>
      <c r="S20" s="40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</row>
    <row r="21" spans="2:46" ht="17.25" customHeight="1" x14ac:dyDescent="0.25">
      <c r="B21" s="212" t="s">
        <v>60</v>
      </c>
      <c r="C21" s="304"/>
      <c r="D21" s="240">
        <v>5</v>
      </c>
      <c r="E21" s="198">
        <v>413.5</v>
      </c>
      <c r="F21" s="261">
        <v>44607</v>
      </c>
      <c r="G21" s="245">
        <v>43692</v>
      </c>
      <c r="H21" s="226">
        <f>+F21-G21</f>
        <v>915</v>
      </c>
      <c r="I21" s="227">
        <f>+H21/D21</f>
        <v>183</v>
      </c>
      <c r="K21" s="74"/>
      <c r="L21" s="254">
        <v>43344</v>
      </c>
      <c r="M21" s="2">
        <v>227</v>
      </c>
      <c r="N21" s="63">
        <v>27140.32</v>
      </c>
      <c r="O21" s="70">
        <v>3350.6</v>
      </c>
      <c r="P21" s="70">
        <v>14965.67</v>
      </c>
      <c r="Q21" s="71">
        <f t="shared" si="2"/>
        <v>18316.27</v>
      </c>
      <c r="R21" s="71">
        <f t="shared" si="3"/>
        <v>80.688414096916304</v>
      </c>
      <c r="S21" s="40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pans="2:46" ht="17.25" customHeight="1" x14ac:dyDescent="0.25">
      <c r="B22" s="212" t="s">
        <v>61</v>
      </c>
      <c r="C22" s="304"/>
      <c r="D22" s="240">
        <v>6</v>
      </c>
      <c r="E22" s="198">
        <v>325.60000000000002</v>
      </c>
      <c r="F22" s="261">
        <v>68145</v>
      </c>
      <c r="G22" s="245">
        <v>67649</v>
      </c>
      <c r="H22" s="226">
        <f>+F22-G22</f>
        <v>496</v>
      </c>
      <c r="I22" s="226">
        <f t="shared" ref="I22:I41" si="4">+H22/D22</f>
        <v>82.666666666666671</v>
      </c>
      <c r="J22" s="73"/>
      <c r="K22" s="75"/>
      <c r="L22" s="254">
        <v>43374</v>
      </c>
      <c r="M22" s="2">
        <v>227</v>
      </c>
      <c r="N22" s="63">
        <v>25552.39</v>
      </c>
      <c r="O22" s="70">
        <v>8187</v>
      </c>
      <c r="P22" s="70">
        <v>36169.5</v>
      </c>
      <c r="Q22" s="71">
        <f t="shared" si="2"/>
        <v>44356.5</v>
      </c>
      <c r="R22" s="71">
        <f t="shared" si="3"/>
        <v>195.40308370044053</v>
      </c>
      <c r="S22" s="40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</row>
    <row r="23" spans="2:46" ht="17.25" customHeight="1" x14ac:dyDescent="0.25">
      <c r="B23" s="228" t="s">
        <v>57</v>
      </c>
      <c r="C23" s="304">
        <v>43160</v>
      </c>
      <c r="D23" s="240">
        <v>7</v>
      </c>
      <c r="E23" s="198">
        <v>481</v>
      </c>
      <c r="F23" s="261">
        <v>51212</v>
      </c>
      <c r="G23" s="245">
        <v>50504</v>
      </c>
      <c r="H23" s="226">
        <f>+F23-G23</f>
        <v>708</v>
      </c>
      <c r="I23" s="227">
        <f t="shared" si="4"/>
        <v>101.14285714285714</v>
      </c>
      <c r="L23" s="254">
        <v>43405</v>
      </c>
      <c r="M23" s="4">
        <v>227</v>
      </c>
      <c r="N23" s="63">
        <v>25948.799999999999</v>
      </c>
      <c r="O23" s="70">
        <v>8506.5</v>
      </c>
      <c r="P23" s="70">
        <v>37857</v>
      </c>
      <c r="Q23" s="71">
        <f t="shared" si="2"/>
        <v>46363.5</v>
      </c>
      <c r="R23" s="71">
        <f t="shared" si="3"/>
        <v>204.2444933920705</v>
      </c>
      <c r="S23" s="40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</row>
    <row r="24" spans="2:46" ht="17.25" customHeight="1" x14ac:dyDescent="0.25">
      <c r="B24" s="212" t="s">
        <v>58</v>
      </c>
      <c r="C24" s="304"/>
      <c r="D24" s="240">
        <v>4</v>
      </c>
      <c r="E24" s="198">
        <v>242.92</v>
      </c>
      <c r="F24" s="198" t="s">
        <v>113</v>
      </c>
      <c r="G24" s="221" t="s">
        <v>112</v>
      </c>
      <c r="H24" s="226">
        <v>607</v>
      </c>
      <c r="I24" s="221">
        <f t="shared" si="4"/>
        <v>151.75</v>
      </c>
      <c r="J24" s="73" t="s">
        <v>100</v>
      </c>
      <c r="L24" s="254">
        <v>43435</v>
      </c>
      <c r="M24" s="2">
        <v>227</v>
      </c>
      <c r="N24" s="63">
        <v>27415.7</v>
      </c>
      <c r="O24" s="70">
        <v>8823</v>
      </c>
      <c r="P24" s="70">
        <v>41191.5</v>
      </c>
      <c r="Q24" s="71">
        <f t="shared" si="2"/>
        <v>50014.5</v>
      </c>
      <c r="R24" s="71">
        <f t="shared" si="3"/>
        <v>220.32819383259911</v>
      </c>
      <c r="S24" s="40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</row>
    <row r="25" spans="2:46" ht="17.25" customHeight="1" x14ac:dyDescent="0.25">
      <c r="B25" s="212" t="s">
        <v>59</v>
      </c>
      <c r="C25" s="304"/>
      <c r="D25" s="240">
        <v>4</v>
      </c>
      <c r="E25" s="198">
        <v>336</v>
      </c>
      <c r="F25" s="261">
        <v>44432</v>
      </c>
      <c r="G25" s="245">
        <v>43904</v>
      </c>
      <c r="H25" s="226">
        <f>+F25-G25</f>
        <v>528</v>
      </c>
      <c r="I25" s="221">
        <f t="shared" si="4"/>
        <v>132</v>
      </c>
      <c r="L25" s="224" t="s">
        <v>2</v>
      </c>
      <c r="M25" s="225">
        <f t="shared" ref="M25:R25" si="5">AVERAGE(M13:M24)</f>
        <v>227</v>
      </c>
      <c r="N25" s="225">
        <f t="shared" si="5"/>
        <v>29937.900000000005</v>
      </c>
      <c r="O25" s="225">
        <f>AVERAGE(O13:O24)</f>
        <v>6320.9483333333337</v>
      </c>
      <c r="P25" s="225">
        <f>AVERAGE(P13:P24)</f>
        <v>28549.426666666666</v>
      </c>
      <c r="Q25" s="225">
        <f>AVERAGE(Q13:Q24)</f>
        <v>34870.375</v>
      </c>
      <c r="R25" s="225">
        <f t="shared" si="5"/>
        <v>153.61398678414099</v>
      </c>
      <c r="S25" s="217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</row>
    <row r="26" spans="2:46" ht="17.25" customHeight="1" x14ac:dyDescent="0.25">
      <c r="B26" s="212" t="s">
        <v>60</v>
      </c>
      <c r="C26" s="304"/>
      <c r="D26" s="240">
        <v>5</v>
      </c>
      <c r="E26" s="198">
        <v>408.5</v>
      </c>
      <c r="F26" s="261">
        <v>62119</v>
      </c>
      <c r="G26" s="245">
        <v>61507</v>
      </c>
      <c r="H26" s="226">
        <f>+F26-G26</f>
        <v>612</v>
      </c>
      <c r="I26" s="227">
        <f t="shared" si="4"/>
        <v>122.4</v>
      </c>
      <c r="L26" s="77"/>
      <c r="M26" s="35"/>
      <c r="N26" s="36"/>
      <c r="O26" s="37"/>
      <c r="P26" s="37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</row>
    <row r="27" spans="2:46" ht="17.25" customHeight="1" thickBot="1" x14ac:dyDescent="0.25">
      <c r="B27" s="212" t="s">
        <v>61</v>
      </c>
      <c r="C27" s="304"/>
      <c r="D27" s="240">
        <v>6</v>
      </c>
      <c r="E27" s="198">
        <v>331.5</v>
      </c>
      <c r="F27" s="261">
        <v>88640</v>
      </c>
      <c r="G27" s="245">
        <v>88145</v>
      </c>
      <c r="H27" s="226">
        <f>+F27-G27</f>
        <v>495</v>
      </c>
      <c r="I27" s="226">
        <f t="shared" si="4"/>
        <v>82.5</v>
      </c>
      <c r="J27" s="73"/>
      <c r="K27" s="75"/>
      <c r="L27" s="77"/>
      <c r="M27" s="78"/>
      <c r="N27" s="78"/>
      <c r="O27" s="78"/>
      <c r="P27" s="78"/>
    </row>
    <row r="28" spans="2:46" ht="17.25" customHeight="1" thickBot="1" x14ac:dyDescent="0.25">
      <c r="B28" s="228" t="s">
        <v>57</v>
      </c>
      <c r="C28" s="304">
        <v>43191</v>
      </c>
      <c r="D28" s="239">
        <v>7</v>
      </c>
      <c r="E28" s="196">
        <v>376</v>
      </c>
      <c r="F28" s="197" t="s">
        <v>112</v>
      </c>
      <c r="G28" s="197" t="s">
        <v>112</v>
      </c>
      <c r="H28" s="197">
        <v>549</v>
      </c>
      <c r="I28" s="226">
        <f>+H28/D28</f>
        <v>78.428571428571431</v>
      </c>
      <c r="L28" s="78"/>
      <c r="M28" s="78"/>
      <c r="N28" s="78"/>
      <c r="O28" s="78"/>
      <c r="P28" s="78"/>
      <c r="U28" s="305" t="s">
        <v>70</v>
      </c>
      <c r="V28" s="306"/>
      <c r="W28" s="306"/>
      <c r="X28" s="306"/>
      <c r="Y28" s="307"/>
      <c r="AI28" s="305" t="s">
        <v>71</v>
      </c>
      <c r="AJ28" s="306"/>
      <c r="AK28" s="306"/>
      <c r="AL28" s="306"/>
    </row>
    <row r="29" spans="2:46" ht="17.25" customHeight="1" thickBot="1" x14ac:dyDescent="0.3">
      <c r="B29" s="230" t="s">
        <v>58</v>
      </c>
      <c r="C29" s="304"/>
      <c r="D29" s="239">
        <v>4</v>
      </c>
      <c r="E29" s="241">
        <v>139.37</v>
      </c>
      <c r="F29" s="241">
        <v>172777</v>
      </c>
      <c r="G29" s="241">
        <v>171821</v>
      </c>
      <c r="H29" s="241">
        <v>856</v>
      </c>
      <c r="I29" s="226">
        <f>+H29/D29</f>
        <v>214</v>
      </c>
      <c r="J29" s="73" t="s">
        <v>100</v>
      </c>
      <c r="L29" s="313" t="s">
        <v>110</v>
      </c>
      <c r="M29" s="314"/>
      <c r="N29" s="314"/>
      <c r="O29" s="314"/>
      <c r="P29" s="314"/>
      <c r="Q29" s="314"/>
      <c r="R29" s="315"/>
      <c r="S29" s="246"/>
      <c r="U29" s="97" t="s">
        <v>72</v>
      </c>
      <c r="V29" s="98" t="s">
        <v>84</v>
      </c>
      <c r="W29" s="98" t="s">
        <v>73</v>
      </c>
      <c r="X29" s="98" t="s">
        <v>74</v>
      </c>
      <c r="Y29" s="98" t="s">
        <v>85</v>
      </c>
      <c r="Z29" s="98" t="s">
        <v>86</v>
      </c>
      <c r="AA29" s="98" t="s">
        <v>87</v>
      </c>
      <c r="AB29" s="98" t="s">
        <v>88</v>
      </c>
      <c r="AC29" s="98" t="s">
        <v>89</v>
      </c>
      <c r="AD29" s="98" t="s">
        <v>90</v>
      </c>
      <c r="AE29" s="98" t="s">
        <v>91</v>
      </c>
      <c r="AF29" s="98" t="s">
        <v>92</v>
      </c>
      <c r="AG29" s="98" t="s">
        <v>93</v>
      </c>
      <c r="AH29" s="123"/>
      <c r="AI29" s="98" t="s">
        <v>84</v>
      </c>
      <c r="AJ29" s="98" t="s">
        <v>73</v>
      </c>
      <c r="AK29" s="98" t="s">
        <v>74</v>
      </c>
      <c r="AL29" s="98" t="s">
        <v>85</v>
      </c>
      <c r="AM29" s="99" t="s">
        <v>86</v>
      </c>
      <c r="AN29" s="99" t="s">
        <v>87</v>
      </c>
      <c r="AO29" s="99" t="s">
        <v>88</v>
      </c>
      <c r="AP29" s="98" t="s">
        <v>89</v>
      </c>
      <c r="AQ29" s="98" t="s">
        <v>90</v>
      </c>
      <c r="AR29" s="98" t="s">
        <v>91</v>
      </c>
      <c r="AS29" s="98" t="s">
        <v>92</v>
      </c>
      <c r="AT29" s="99" t="s">
        <v>93</v>
      </c>
    </row>
    <row r="30" spans="2:46" ht="17.25" customHeight="1" thickBot="1" x14ac:dyDescent="0.3">
      <c r="B30" s="212" t="s">
        <v>59</v>
      </c>
      <c r="C30" s="304"/>
      <c r="D30" s="239">
        <v>4</v>
      </c>
      <c r="E30" s="196">
        <v>219</v>
      </c>
      <c r="F30" s="197">
        <v>48696</v>
      </c>
      <c r="G30" s="197">
        <v>48360</v>
      </c>
      <c r="H30" s="197">
        <v>328</v>
      </c>
      <c r="I30" s="226">
        <f t="shared" ref="I30:I31" si="6">+H30/D30</f>
        <v>82</v>
      </c>
      <c r="L30" s="316" t="s">
        <v>62</v>
      </c>
      <c r="M30" s="317"/>
      <c r="N30" s="317"/>
      <c r="O30" s="317"/>
      <c r="P30" s="317"/>
      <c r="Q30" s="317"/>
      <c r="R30" s="318"/>
      <c r="S30" s="248"/>
      <c r="T30" s="69">
        <v>1</v>
      </c>
      <c r="U30" s="207">
        <v>1710929</v>
      </c>
      <c r="V30" s="69">
        <v>1095.5</v>
      </c>
      <c r="W30" s="208">
        <v>1135.5999999999999</v>
      </c>
      <c r="X30" s="91">
        <v>639.9</v>
      </c>
      <c r="Y30" s="91">
        <v>633.5</v>
      </c>
      <c r="Z30" s="91">
        <v>593.5</v>
      </c>
      <c r="AA30" s="92">
        <v>601.20000000000005</v>
      </c>
      <c r="AB30" s="69">
        <v>592.70000000000005</v>
      </c>
      <c r="AC30" s="91">
        <v>651.4</v>
      </c>
      <c r="AD30" s="91">
        <v>656.6</v>
      </c>
      <c r="AE30" s="91">
        <v>568.4</v>
      </c>
      <c r="AF30" s="91">
        <v>584.9</v>
      </c>
      <c r="AG30" s="91">
        <v>572.5</v>
      </c>
      <c r="AI30" s="91">
        <v>1036.5999999999999</v>
      </c>
      <c r="AJ30" s="91">
        <v>962.2</v>
      </c>
      <c r="AK30" s="100">
        <v>991.8</v>
      </c>
      <c r="AL30" s="91">
        <v>977</v>
      </c>
      <c r="AM30" s="100">
        <v>937.8</v>
      </c>
      <c r="AN30" s="91">
        <v>959.6</v>
      </c>
      <c r="AO30" s="91">
        <v>899</v>
      </c>
      <c r="AP30" s="91">
        <v>1010.9</v>
      </c>
      <c r="AQ30" s="91">
        <v>1005.25</v>
      </c>
      <c r="AR30" s="91">
        <v>890.4</v>
      </c>
      <c r="AS30" s="91">
        <v>911.4</v>
      </c>
      <c r="AT30" s="91">
        <v>888</v>
      </c>
    </row>
    <row r="31" spans="2:46" ht="17.25" customHeight="1" x14ac:dyDescent="0.2">
      <c r="B31" s="212" t="s">
        <v>60</v>
      </c>
      <c r="C31" s="304"/>
      <c r="D31" s="239">
        <v>5</v>
      </c>
      <c r="E31" s="196">
        <v>427.5</v>
      </c>
      <c r="F31" s="196">
        <v>51839</v>
      </c>
      <c r="G31" s="196">
        <v>51212</v>
      </c>
      <c r="H31" s="197">
        <v>627</v>
      </c>
      <c r="I31" s="226">
        <f t="shared" si="6"/>
        <v>125.4</v>
      </c>
      <c r="J31" s="40"/>
      <c r="L31" s="79" t="s">
        <v>63</v>
      </c>
      <c r="M31" s="80"/>
      <c r="N31" s="80"/>
      <c r="O31" s="80"/>
      <c r="P31" s="80"/>
      <c r="Q31" s="80"/>
      <c r="R31" s="81"/>
      <c r="S31" s="82"/>
      <c r="T31" s="69">
        <v>2</v>
      </c>
      <c r="U31" s="209">
        <v>1710930</v>
      </c>
      <c r="V31" s="102">
        <v>1192.9000000000001</v>
      </c>
      <c r="W31" s="124">
        <v>1208</v>
      </c>
      <c r="X31" s="91">
        <v>682.7</v>
      </c>
      <c r="Y31" s="91">
        <v>701.8</v>
      </c>
      <c r="Z31" s="91">
        <v>674.3</v>
      </c>
      <c r="AA31" s="91">
        <v>687.7</v>
      </c>
      <c r="AB31" s="91">
        <v>680.3</v>
      </c>
      <c r="AC31" s="91">
        <v>754.3</v>
      </c>
      <c r="AD31" s="91">
        <v>730.8</v>
      </c>
      <c r="AE31" s="91">
        <v>725.6</v>
      </c>
      <c r="AF31" s="91">
        <v>740.1</v>
      </c>
      <c r="AG31" s="91">
        <v>693.1</v>
      </c>
      <c r="AI31" s="91">
        <v>1093.4000000000001</v>
      </c>
      <c r="AJ31" s="124">
        <v>1017.6</v>
      </c>
      <c r="AK31" s="91">
        <v>1039.4000000000001</v>
      </c>
      <c r="AL31" s="91">
        <v>1065.9000000000001</v>
      </c>
      <c r="AM31" s="91">
        <v>1050.0999999999999</v>
      </c>
      <c r="AN31" s="91">
        <v>1082.5</v>
      </c>
      <c r="AO31" s="91">
        <v>1049.5</v>
      </c>
      <c r="AP31" s="91">
        <v>1182.8</v>
      </c>
      <c r="AQ31" s="91">
        <v>1125</v>
      </c>
      <c r="AR31" s="91">
        <v>1127.5</v>
      </c>
      <c r="AS31" s="91">
        <v>1141.7</v>
      </c>
      <c r="AT31" s="91">
        <v>1059.9000000000001</v>
      </c>
    </row>
    <row r="32" spans="2:46" ht="15.75" customHeight="1" x14ac:dyDescent="0.2">
      <c r="B32" s="230" t="s">
        <v>61</v>
      </c>
      <c r="C32" s="304"/>
      <c r="D32" s="239">
        <v>6</v>
      </c>
      <c r="E32" s="72">
        <v>6</v>
      </c>
      <c r="F32" s="196">
        <v>275</v>
      </c>
      <c r="G32" s="197">
        <v>89047</v>
      </c>
      <c r="H32" s="197">
        <v>88640</v>
      </c>
      <c r="I32" s="197">
        <f>G32-H32</f>
        <v>407</v>
      </c>
      <c r="J32" s="73"/>
      <c r="K32" s="75"/>
      <c r="L32" s="83" t="s">
        <v>64</v>
      </c>
      <c r="M32" s="84"/>
      <c r="N32" s="84"/>
      <c r="O32" s="84"/>
      <c r="P32" s="84"/>
      <c r="Q32" s="84"/>
      <c r="R32" s="85"/>
      <c r="S32" s="82"/>
      <c r="T32" s="69">
        <v>3</v>
      </c>
      <c r="U32" s="209">
        <v>1710931</v>
      </c>
      <c r="V32" s="102">
        <v>1289.5</v>
      </c>
      <c r="W32" s="208">
        <v>1406.9</v>
      </c>
      <c r="X32" s="91">
        <v>738.6</v>
      </c>
      <c r="Y32" s="91">
        <v>794.36</v>
      </c>
      <c r="Z32" s="91">
        <v>723</v>
      </c>
      <c r="AA32" s="91">
        <v>686</v>
      </c>
      <c r="AB32" s="91">
        <v>973.8</v>
      </c>
      <c r="AC32" s="91">
        <v>731.8</v>
      </c>
      <c r="AD32" s="91">
        <v>727.4</v>
      </c>
      <c r="AE32" s="91">
        <v>690</v>
      </c>
      <c r="AF32" s="91">
        <v>740.8</v>
      </c>
      <c r="AG32" s="91">
        <v>726.8</v>
      </c>
      <c r="AI32" s="91">
        <v>1252.9000000000001</v>
      </c>
      <c r="AJ32" s="91">
        <v>1199.3</v>
      </c>
      <c r="AK32" s="91">
        <v>1130.7</v>
      </c>
      <c r="AL32" s="91">
        <v>1216.4000000000001</v>
      </c>
      <c r="AM32" s="91">
        <v>1131.5999999999999</v>
      </c>
      <c r="AN32" s="91">
        <v>1079.5999999999999</v>
      </c>
      <c r="AO32" s="91">
        <v>1524.4</v>
      </c>
      <c r="AP32" s="91">
        <v>1145.3</v>
      </c>
      <c r="AQ32" s="91">
        <v>1130.4000000000001</v>
      </c>
      <c r="AR32" s="91">
        <v>1068</v>
      </c>
      <c r="AS32" s="91">
        <v>1143.0999999999999</v>
      </c>
      <c r="AT32" s="91">
        <v>1116.0999999999999</v>
      </c>
    </row>
    <row r="33" spans="2:46" ht="16.5" customHeight="1" x14ac:dyDescent="0.2">
      <c r="B33" s="228" t="s">
        <v>57</v>
      </c>
      <c r="C33" s="304">
        <v>43221</v>
      </c>
      <c r="D33" s="239">
        <v>7</v>
      </c>
      <c r="E33" s="196">
        <v>426.5</v>
      </c>
      <c r="F33" s="197" t="s">
        <v>112</v>
      </c>
      <c r="G33" s="197" t="s">
        <v>112</v>
      </c>
      <c r="H33" s="197">
        <v>638</v>
      </c>
      <c r="I33" s="226">
        <f t="shared" si="4"/>
        <v>91.142857142857139</v>
      </c>
      <c r="L33" s="83" t="s">
        <v>65</v>
      </c>
      <c r="M33" s="84"/>
      <c r="N33" s="84"/>
      <c r="O33" s="84"/>
      <c r="P33" s="84"/>
      <c r="Q33" s="84"/>
      <c r="R33" s="85"/>
      <c r="S33" s="82"/>
      <c r="T33" s="69">
        <v>4</v>
      </c>
      <c r="U33" s="209">
        <v>1710932</v>
      </c>
      <c r="V33" s="102">
        <v>1718.4</v>
      </c>
      <c r="W33" s="208">
        <v>1801.6</v>
      </c>
      <c r="X33" s="91">
        <v>988.9</v>
      </c>
      <c r="Y33" s="91">
        <v>1089.7</v>
      </c>
      <c r="Z33" s="91">
        <v>985.4</v>
      </c>
      <c r="AA33" s="91">
        <v>971.3</v>
      </c>
      <c r="AB33" s="91">
        <v>970</v>
      </c>
      <c r="AC33" s="91">
        <v>1052.5999999999999</v>
      </c>
      <c r="AD33" s="91">
        <v>957.6</v>
      </c>
      <c r="AE33" s="91">
        <v>940.4</v>
      </c>
      <c r="AF33" s="91">
        <v>953.2</v>
      </c>
      <c r="AG33" s="91">
        <v>987.1</v>
      </c>
      <c r="AI33" s="91">
        <v>1656.2</v>
      </c>
      <c r="AJ33" s="91">
        <v>1478.9</v>
      </c>
      <c r="AK33" s="91">
        <v>1528.1</v>
      </c>
      <c r="AL33" s="91">
        <v>1685.7</v>
      </c>
      <c r="AM33" s="91">
        <v>1558.5</v>
      </c>
      <c r="AN33" s="91">
        <v>1549.6</v>
      </c>
      <c r="AO33" s="91">
        <v>1436</v>
      </c>
      <c r="AP33" s="91">
        <v>1669.5</v>
      </c>
      <c r="AQ33" s="91">
        <v>1502.4</v>
      </c>
      <c r="AR33" s="91">
        <v>1486.3</v>
      </c>
      <c r="AS33" s="91">
        <v>1498.6</v>
      </c>
      <c r="AT33" s="91">
        <v>1537.2</v>
      </c>
    </row>
    <row r="34" spans="2:46" ht="16.5" customHeight="1" x14ac:dyDescent="0.2">
      <c r="B34" s="230" t="s">
        <v>58</v>
      </c>
      <c r="C34" s="304"/>
      <c r="D34" s="239">
        <v>4</v>
      </c>
      <c r="E34" s="196">
        <v>121.08</v>
      </c>
      <c r="F34" s="196" t="s">
        <v>112</v>
      </c>
      <c r="G34" s="196" t="s">
        <v>112</v>
      </c>
      <c r="H34" s="197">
        <v>750</v>
      </c>
      <c r="I34" s="226">
        <f t="shared" si="4"/>
        <v>187.5</v>
      </c>
      <c r="J34" s="73" t="s">
        <v>100</v>
      </c>
      <c r="L34" s="83" t="s">
        <v>66</v>
      </c>
      <c r="M34" s="84"/>
      <c r="N34" s="84"/>
      <c r="O34" s="84"/>
      <c r="P34" s="84"/>
      <c r="Q34" s="84"/>
      <c r="R34" s="85"/>
      <c r="S34" s="82"/>
      <c r="T34" s="69">
        <v>5</v>
      </c>
      <c r="U34" s="209">
        <v>1710933</v>
      </c>
      <c r="V34" s="102">
        <v>168.2</v>
      </c>
      <c r="W34" s="208">
        <v>157.9</v>
      </c>
      <c r="X34" s="91">
        <v>84.1</v>
      </c>
      <c r="Y34" s="91">
        <v>95.5</v>
      </c>
      <c r="Z34" s="91">
        <v>90</v>
      </c>
      <c r="AA34" s="91">
        <v>113.3</v>
      </c>
      <c r="AB34" s="91">
        <v>110.1</v>
      </c>
      <c r="AC34" s="91">
        <v>110.6</v>
      </c>
      <c r="AD34" s="91">
        <v>96.2</v>
      </c>
      <c r="AE34" s="91">
        <v>87</v>
      </c>
      <c r="AF34" s="91">
        <v>85.4</v>
      </c>
      <c r="AG34" s="102">
        <v>91.4</v>
      </c>
      <c r="AI34" s="91">
        <v>163.30000000000001</v>
      </c>
      <c r="AJ34" s="91">
        <v>136.9</v>
      </c>
      <c r="AK34" s="91">
        <v>122.5</v>
      </c>
      <c r="AL34" s="91">
        <v>140.6</v>
      </c>
      <c r="AM34" s="91">
        <v>135.30000000000001</v>
      </c>
      <c r="AN34" s="91">
        <v>168.5</v>
      </c>
      <c r="AO34" s="91">
        <v>159.80000000000001</v>
      </c>
      <c r="AP34" s="91">
        <v>162.19999999999999</v>
      </c>
      <c r="AQ34" s="91">
        <v>144.69999999999999</v>
      </c>
      <c r="AR34" s="91">
        <v>129.4</v>
      </c>
      <c r="AS34" s="91">
        <v>125.4</v>
      </c>
      <c r="AT34" s="91">
        <v>135</v>
      </c>
    </row>
    <row r="35" spans="2:46" ht="17.25" customHeight="1" thickBot="1" x14ac:dyDescent="0.25">
      <c r="B35" s="212" t="s">
        <v>59</v>
      </c>
      <c r="C35" s="304"/>
      <c r="D35" s="239">
        <v>4</v>
      </c>
      <c r="E35" s="196">
        <v>210</v>
      </c>
      <c r="F35" s="197">
        <v>4900</v>
      </c>
      <c r="G35" s="197">
        <v>48686</v>
      </c>
      <c r="H35" s="197">
        <v>314</v>
      </c>
      <c r="I35" s="226">
        <f t="shared" si="4"/>
        <v>78.5</v>
      </c>
      <c r="L35" s="86" t="s">
        <v>67</v>
      </c>
      <c r="M35" s="87"/>
      <c r="N35" s="87"/>
      <c r="O35" s="87"/>
      <c r="P35" s="87"/>
      <c r="Q35" s="87"/>
      <c r="R35" s="88"/>
      <c r="S35" s="82"/>
      <c r="T35" s="69">
        <v>6</v>
      </c>
      <c r="U35" s="209">
        <v>1710934</v>
      </c>
      <c r="V35" s="102">
        <v>1759.6</v>
      </c>
      <c r="W35" s="208">
        <v>1804.4</v>
      </c>
      <c r="X35" s="91">
        <v>955.3</v>
      </c>
      <c r="Y35" s="91">
        <v>1060.0999999999999</v>
      </c>
      <c r="Z35" s="91">
        <v>1011.7</v>
      </c>
      <c r="AA35" s="91">
        <v>1000.15</v>
      </c>
      <c r="AB35" s="91">
        <v>1000.13</v>
      </c>
      <c r="AC35" s="91">
        <v>1073.5</v>
      </c>
      <c r="AD35" s="91">
        <v>1043.5</v>
      </c>
      <c r="AE35" s="91">
        <v>970.8</v>
      </c>
      <c r="AF35" s="91">
        <v>986.9</v>
      </c>
      <c r="AG35" s="91">
        <v>941</v>
      </c>
      <c r="AI35" s="91">
        <v>1692.9</v>
      </c>
      <c r="AJ35" s="91">
        <v>1516.6</v>
      </c>
      <c r="AK35" s="91">
        <v>1484.4</v>
      </c>
      <c r="AL35" s="91">
        <v>1637.5</v>
      </c>
      <c r="AM35" s="91">
        <v>1602.5</v>
      </c>
      <c r="AN35" s="91">
        <v>1600.42</v>
      </c>
      <c r="AO35" s="91">
        <v>1600</v>
      </c>
      <c r="AP35" s="91">
        <v>1704.4</v>
      </c>
      <c r="AQ35" s="91">
        <v>1645.9</v>
      </c>
      <c r="AR35" s="91">
        <v>1524.4</v>
      </c>
      <c r="AS35" s="91">
        <v>1540.3</v>
      </c>
      <c r="AT35" s="91">
        <v>1473.6</v>
      </c>
    </row>
    <row r="36" spans="2:46" ht="16.5" customHeight="1" x14ac:dyDescent="0.2">
      <c r="B36" s="212" t="s">
        <v>60</v>
      </c>
      <c r="C36" s="304"/>
      <c r="D36" s="239">
        <v>5</v>
      </c>
      <c r="E36" s="196">
        <v>403.5</v>
      </c>
      <c r="F36" s="197">
        <v>52436</v>
      </c>
      <c r="G36" s="197">
        <v>51839</v>
      </c>
      <c r="H36" s="197">
        <v>507</v>
      </c>
      <c r="I36" s="226">
        <f t="shared" si="4"/>
        <v>101.4</v>
      </c>
      <c r="L36" s="296" t="s">
        <v>1</v>
      </c>
      <c r="M36" s="296" t="s">
        <v>0</v>
      </c>
      <c r="N36" s="296" t="s">
        <v>7</v>
      </c>
      <c r="O36" s="298" t="s">
        <v>8</v>
      </c>
      <c r="P36" s="299"/>
      <c r="Q36" s="300"/>
      <c r="R36" s="296" t="s">
        <v>9</v>
      </c>
      <c r="S36" s="216"/>
      <c r="T36" s="69">
        <v>7</v>
      </c>
      <c r="U36" s="209">
        <v>1710935</v>
      </c>
      <c r="V36" s="102">
        <v>372.2</v>
      </c>
      <c r="W36" s="208">
        <v>378.6</v>
      </c>
      <c r="X36" s="91">
        <v>182.9</v>
      </c>
      <c r="Y36" s="91">
        <v>188.6</v>
      </c>
      <c r="Z36" s="91">
        <v>209.1</v>
      </c>
      <c r="AA36" s="91">
        <v>215.5</v>
      </c>
      <c r="AB36" s="91">
        <v>214.89</v>
      </c>
      <c r="AC36" s="91">
        <v>271</v>
      </c>
      <c r="AD36" s="91">
        <v>261.39999999999998</v>
      </c>
      <c r="AE36" s="91">
        <v>220.1</v>
      </c>
      <c r="AF36" s="91">
        <v>226</v>
      </c>
      <c r="AG36" s="91">
        <v>227.1</v>
      </c>
      <c r="AI36" s="91">
        <v>331.4</v>
      </c>
      <c r="AJ36" s="91">
        <v>319.7</v>
      </c>
      <c r="AK36" s="91">
        <v>276.60000000000002</v>
      </c>
      <c r="AL36" s="91">
        <v>284.5</v>
      </c>
      <c r="AM36" s="91">
        <v>321.3</v>
      </c>
      <c r="AN36" s="91">
        <v>335.1</v>
      </c>
      <c r="AO36" s="91">
        <v>334.12</v>
      </c>
      <c r="AP36" s="91">
        <v>424.1</v>
      </c>
      <c r="AQ36" s="91">
        <v>406.1</v>
      </c>
      <c r="AR36" s="91">
        <v>337.1</v>
      </c>
      <c r="AS36" s="91">
        <v>343.9</v>
      </c>
      <c r="AT36" s="91">
        <v>344.6</v>
      </c>
    </row>
    <row r="37" spans="2:46" ht="17.25" customHeight="1" thickBot="1" x14ac:dyDescent="0.25">
      <c r="B37" s="230" t="s">
        <v>61</v>
      </c>
      <c r="C37" s="304"/>
      <c r="D37" s="239">
        <v>6</v>
      </c>
      <c r="E37" s="72">
        <v>6</v>
      </c>
      <c r="F37" s="19">
        <v>245.5</v>
      </c>
      <c r="G37" s="267">
        <v>89410</v>
      </c>
      <c r="H37" s="267">
        <v>89047</v>
      </c>
      <c r="I37" s="267">
        <f>G37-H37</f>
        <v>363</v>
      </c>
      <c r="L37" s="297"/>
      <c r="M37" s="297"/>
      <c r="N37" s="297"/>
      <c r="O37" s="301"/>
      <c r="P37" s="302"/>
      <c r="Q37" s="303"/>
      <c r="R37" s="297"/>
      <c r="S37" s="216"/>
      <c r="T37" s="69">
        <v>8</v>
      </c>
      <c r="U37" s="209">
        <v>1710936</v>
      </c>
      <c r="V37" s="102">
        <v>1285.4000000000001</v>
      </c>
      <c r="W37" s="208">
        <v>1381.4</v>
      </c>
      <c r="X37" s="91">
        <v>785.8</v>
      </c>
      <c r="Y37" s="91">
        <v>880.2</v>
      </c>
      <c r="Z37" s="91">
        <v>821.2</v>
      </c>
      <c r="AA37" s="91">
        <v>761</v>
      </c>
      <c r="AB37" s="91">
        <v>784.1</v>
      </c>
      <c r="AC37" s="91">
        <v>833.7</v>
      </c>
      <c r="AD37" s="91">
        <v>808.2</v>
      </c>
      <c r="AE37" s="91">
        <v>780.7</v>
      </c>
      <c r="AF37" s="91">
        <v>787.7</v>
      </c>
      <c r="AG37" s="91">
        <v>819.9</v>
      </c>
      <c r="AI37" s="91">
        <v>1215.8</v>
      </c>
      <c r="AJ37" s="91">
        <v>1224.0999999999999</v>
      </c>
      <c r="AK37" s="91">
        <v>1207.9000000000001</v>
      </c>
      <c r="AL37" s="91">
        <v>1356.2</v>
      </c>
      <c r="AM37" s="91">
        <v>1295.5999999999999</v>
      </c>
      <c r="AN37" s="91">
        <v>1206.3</v>
      </c>
      <c r="AO37" s="91">
        <v>1221.7</v>
      </c>
      <c r="AP37" s="91">
        <v>1315.4</v>
      </c>
      <c r="AQ37" s="91">
        <v>1265.5999999999999</v>
      </c>
      <c r="AR37" s="91">
        <v>1219.5</v>
      </c>
      <c r="AS37" s="91">
        <v>1221.5</v>
      </c>
      <c r="AT37" s="91">
        <v>1271.5999999999999</v>
      </c>
    </row>
    <row r="38" spans="2:46" ht="18.75" customHeight="1" x14ac:dyDescent="0.2">
      <c r="B38" s="228" t="s">
        <v>57</v>
      </c>
      <c r="C38" s="304">
        <v>43252</v>
      </c>
      <c r="D38" s="239">
        <v>7</v>
      </c>
      <c r="E38" s="196">
        <v>479.5</v>
      </c>
      <c r="F38" s="197">
        <v>64979</v>
      </c>
      <c r="G38" s="197">
        <v>63074</v>
      </c>
      <c r="H38" s="197">
        <v>1905</v>
      </c>
      <c r="I38" s="226">
        <f t="shared" si="4"/>
        <v>272.14285714285717</v>
      </c>
      <c r="L38" s="297"/>
      <c r="M38" s="297"/>
      <c r="N38" s="297"/>
      <c r="O38" s="309" t="s">
        <v>54</v>
      </c>
      <c r="P38" s="309" t="s">
        <v>55</v>
      </c>
      <c r="Q38" s="309" t="s">
        <v>56</v>
      </c>
      <c r="R38" s="297"/>
      <c r="S38" s="216"/>
      <c r="T38" s="69">
        <v>9</v>
      </c>
      <c r="U38" s="209">
        <v>1710937</v>
      </c>
      <c r="V38" s="102">
        <v>411.3</v>
      </c>
      <c r="W38" s="208">
        <v>433.6</v>
      </c>
      <c r="X38" s="91">
        <v>241.8</v>
      </c>
      <c r="Y38" s="91">
        <v>251</v>
      </c>
      <c r="Z38" s="91">
        <v>257.89999999999998</v>
      </c>
      <c r="AA38" s="91">
        <v>260.39999999999998</v>
      </c>
      <c r="AB38" s="91">
        <v>270.7</v>
      </c>
      <c r="AC38" s="91">
        <v>283.10000000000002</v>
      </c>
      <c r="AD38" s="91">
        <v>299.39999999999998</v>
      </c>
      <c r="AE38" s="91">
        <v>251.1</v>
      </c>
      <c r="AF38" s="91">
        <v>256.10000000000002</v>
      </c>
      <c r="AG38" s="91">
        <v>276.2</v>
      </c>
      <c r="AI38" s="91">
        <v>368</v>
      </c>
      <c r="AJ38" s="91">
        <v>375</v>
      </c>
      <c r="AK38" s="91">
        <v>367.2</v>
      </c>
      <c r="AL38" s="91">
        <v>380.3</v>
      </c>
      <c r="AM38" s="91">
        <v>402.9</v>
      </c>
      <c r="AN38" s="91">
        <v>410.7</v>
      </c>
      <c r="AO38" s="91">
        <v>420.3</v>
      </c>
      <c r="AP38" s="91">
        <v>444.4</v>
      </c>
      <c r="AQ38" s="91">
        <v>469.4</v>
      </c>
      <c r="AR38" s="91">
        <v>388.9</v>
      </c>
      <c r="AS38" s="91">
        <v>394.3</v>
      </c>
      <c r="AT38" s="91">
        <v>426.6</v>
      </c>
    </row>
    <row r="39" spans="2:46" ht="18.75" customHeight="1" x14ac:dyDescent="0.2">
      <c r="B39" s="230" t="s">
        <v>58</v>
      </c>
      <c r="C39" s="304"/>
      <c r="D39" s="239">
        <v>4</v>
      </c>
      <c r="E39" s="241">
        <v>139.37</v>
      </c>
      <c r="F39" s="241">
        <v>172777</v>
      </c>
      <c r="G39" s="241">
        <v>171821</v>
      </c>
      <c r="H39" s="241">
        <v>856</v>
      </c>
      <c r="I39" s="226">
        <f>+H39/D39</f>
        <v>214</v>
      </c>
      <c r="L39" s="297"/>
      <c r="M39" s="297"/>
      <c r="N39" s="297"/>
      <c r="O39" s="310"/>
      <c r="P39" s="310"/>
      <c r="Q39" s="310"/>
      <c r="R39" s="297"/>
      <c r="S39" s="216"/>
      <c r="T39" s="69">
        <v>10</v>
      </c>
      <c r="U39" s="209">
        <v>1710938</v>
      </c>
      <c r="V39" s="102">
        <v>1271.9000000000001</v>
      </c>
      <c r="W39" s="208">
        <v>1364.6</v>
      </c>
      <c r="X39" s="91">
        <v>690.5</v>
      </c>
      <c r="Y39" s="96">
        <v>793.6</v>
      </c>
      <c r="Z39" s="91">
        <v>766.6</v>
      </c>
      <c r="AA39" s="91">
        <v>776</v>
      </c>
      <c r="AB39" s="91">
        <v>812.6</v>
      </c>
      <c r="AC39" s="91">
        <v>821.5</v>
      </c>
      <c r="AD39" s="91">
        <v>834.2</v>
      </c>
      <c r="AE39" s="91">
        <v>778.9</v>
      </c>
      <c r="AF39" s="91">
        <v>789.9</v>
      </c>
      <c r="AG39" s="91">
        <v>753</v>
      </c>
      <c r="AI39" s="91">
        <v>1291.8</v>
      </c>
      <c r="AJ39" s="91">
        <v>1129.8</v>
      </c>
      <c r="AK39" s="91">
        <v>1052</v>
      </c>
      <c r="AL39" s="91">
        <v>1215.5</v>
      </c>
      <c r="AM39" s="91">
        <v>1204.5</v>
      </c>
      <c r="AN39" s="91">
        <v>1231.5</v>
      </c>
      <c r="AO39" s="91">
        <v>1269.7</v>
      </c>
      <c r="AP39" s="91">
        <v>1295</v>
      </c>
      <c r="AQ39" s="91">
        <v>1309</v>
      </c>
      <c r="AR39" s="91">
        <v>1216.5</v>
      </c>
      <c r="AS39" s="91">
        <v>1225.3</v>
      </c>
      <c r="AT39" s="91">
        <v>1159.7</v>
      </c>
    </row>
    <row r="40" spans="2:46" ht="19.5" customHeight="1" x14ac:dyDescent="0.2">
      <c r="B40" s="212" t="s">
        <v>59</v>
      </c>
      <c r="C40" s="304"/>
      <c r="D40" s="239">
        <v>4</v>
      </c>
      <c r="E40" s="196">
        <v>215.5</v>
      </c>
      <c r="F40" s="197">
        <v>49324</v>
      </c>
      <c r="G40" s="197">
        <v>49000</v>
      </c>
      <c r="H40" s="197">
        <v>324</v>
      </c>
      <c r="I40" s="226">
        <f t="shared" si="4"/>
        <v>81</v>
      </c>
      <c r="K40" s="75"/>
      <c r="L40" s="297"/>
      <c r="M40" s="297"/>
      <c r="N40" s="297"/>
      <c r="O40" s="311"/>
      <c r="P40" s="311"/>
      <c r="Q40" s="311"/>
      <c r="R40" s="297"/>
      <c r="S40" s="216"/>
      <c r="T40" s="69">
        <v>11</v>
      </c>
      <c r="U40" s="209">
        <v>1710939</v>
      </c>
      <c r="V40" s="102">
        <v>1271.9000000000001</v>
      </c>
      <c r="W40" s="208">
        <v>406.7</v>
      </c>
      <c r="X40" s="91">
        <v>240.4</v>
      </c>
      <c r="Y40" s="91">
        <v>254.2</v>
      </c>
      <c r="Z40" s="91">
        <v>259.5</v>
      </c>
      <c r="AA40" s="91">
        <v>268.5</v>
      </c>
      <c r="AB40" s="91">
        <v>258.5</v>
      </c>
      <c r="AC40" s="91">
        <v>269.2</v>
      </c>
      <c r="AD40" s="91">
        <v>278.3</v>
      </c>
      <c r="AE40" s="91">
        <v>255.3</v>
      </c>
      <c r="AF40" s="91">
        <v>257.10000000000002</v>
      </c>
      <c r="AG40" s="91">
        <v>261</v>
      </c>
      <c r="AI40" s="91">
        <v>1291.8</v>
      </c>
      <c r="AJ40" s="91">
        <v>348.8</v>
      </c>
      <c r="AK40" s="91">
        <v>365</v>
      </c>
      <c r="AL40" s="91">
        <v>385.7</v>
      </c>
      <c r="AM40" s="91">
        <v>405.5</v>
      </c>
      <c r="AN40" s="91">
        <v>424.4</v>
      </c>
      <c r="AO40" s="91">
        <v>399.6</v>
      </c>
      <c r="AP40" s="91">
        <v>421.2</v>
      </c>
      <c r="AQ40" s="91">
        <v>434.4</v>
      </c>
      <c r="AR40" s="91">
        <v>395.8</v>
      </c>
      <c r="AS40" s="91">
        <v>396</v>
      </c>
      <c r="AT40" s="91">
        <v>401.2</v>
      </c>
    </row>
    <row r="41" spans="2:46" ht="19.5" customHeight="1" x14ac:dyDescent="0.2">
      <c r="B41" s="212" t="s">
        <v>60</v>
      </c>
      <c r="C41" s="304"/>
      <c r="D41" s="239">
        <v>5</v>
      </c>
      <c r="E41" s="196">
        <v>240.5</v>
      </c>
      <c r="F41" s="197">
        <v>52801</v>
      </c>
      <c r="G41" s="197">
        <v>52436</v>
      </c>
      <c r="H41" s="197">
        <v>365</v>
      </c>
      <c r="I41" s="226">
        <f t="shared" si="4"/>
        <v>73</v>
      </c>
      <c r="L41" s="223">
        <v>43101</v>
      </c>
      <c r="M41" s="3">
        <v>210</v>
      </c>
      <c r="N41" s="276">
        <f>V56</f>
        <v>12451.700000000003</v>
      </c>
      <c r="O41" s="277"/>
      <c r="P41" s="277"/>
      <c r="Q41" s="276">
        <f>AI56</f>
        <v>13051.199999999999</v>
      </c>
      <c r="R41" s="213">
        <f>+Q41/M41</f>
        <v>62.148571428571422</v>
      </c>
      <c r="S41" s="89"/>
      <c r="T41" s="69">
        <v>12</v>
      </c>
      <c r="U41" s="209">
        <v>1710940</v>
      </c>
      <c r="V41" s="102">
        <v>292.7</v>
      </c>
      <c r="W41" s="208">
        <v>364.4</v>
      </c>
      <c r="X41" s="91">
        <v>186</v>
      </c>
      <c r="Y41" s="91">
        <v>141.9</v>
      </c>
      <c r="Z41" s="91">
        <v>111.7</v>
      </c>
      <c r="AA41" s="91">
        <v>129</v>
      </c>
      <c r="AB41" s="91">
        <v>119.2</v>
      </c>
      <c r="AC41" s="91">
        <v>107.3</v>
      </c>
      <c r="AD41" s="91">
        <v>83.1</v>
      </c>
      <c r="AE41" s="91">
        <v>95</v>
      </c>
      <c r="AF41" s="91">
        <v>76.099999999999994</v>
      </c>
      <c r="AG41" s="91">
        <v>76.3</v>
      </c>
      <c r="AI41" s="91">
        <v>289.7</v>
      </c>
      <c r="AJ41" s="91">
        <v>330.6</v>
      </c>
      <c r="AK41" s="91">
        <v>281.7</v>
      </c>
      <c r="AL41" s="91">
        <v>208.4</v>
      </c>
      <c r="AM41" s="91">
        <v>164.1</v>
      </c>
      <c r="AN41" s="91">
        <v>194.9</v>
      </c>
      <c r="AO41" s="91">
        <v>174.9</v>
      </c>
      <c r="AP41" s="91">
        <v>156.5</v>
      </c>
      <c r="AQ41" s="91">
        <v>122.8</v>
      </c>
      <c r="AR41" s="91">
        <v>164</v>
      </c>
      <c r="AS41" s="91">
        <v>109.9</v>
      </c>
      <c r="AT41" s="91">
        <v>109.8</v>
      </c>
    </row>
    <row r="42" spans="2:46" ht="18" customHeight="1" x14ac:dyDescent="0.2">
      <c r="B42" s="230" t="s">
        <v>61</v>
      </c>
      <c r="C42" s="304"/>
      <c r="D42" s="72">
        <v>6</v>
      </c>
      <c r="E42" s="19">
        <v>244.5</v>
      </c>
      <c r="F42" s="267">
        <v>89781</v>
      </c>
      <c r="G42" s="267">
        <v>89410</v>
      </c>
      <c r="H42" s="267">
        <f>F42-G42</f>
        <v>371</v>
      </c>
      <c r="I42" s="267">
        <f>G42-H42</f>
        <v>89039</v>
      </c>
      <c r="L42" s="223">
        <v>43132</v>
      </c>
      <c r="M42" s="3">
        <v>210</v>
      </c>
      <c r="N42" s="196">
        <f>W56</f>
        <v>14576.100000000002</v>
      </c>
      <c r="O42" s="278"/>
      <c r="P42" s="278"/>
      <c r="Q42" s="276">
        <f>AJ56</f>
        <v>12259.2</v>
      </c>
      <c r="R42" s="213">
        <f>+Q42/M42</f>
        <v>58.377142857142857</v>
      </c>
      <c r="S42" s="89"/>
      <c r="T42" s="69">
        <v>13</v>
      </c>
      <c r="U42" s="209">
        <v>1710941</v>
      </c>
      <c r="V42" s="102">
        <v>233.5</v>
      </c>
      <c r="W42" s="208">
        <v>214.2</v>
      </c>
      <c r="X42" s="91">
        <v>96.2</v>
      </c>
      <c r="Y42" s="91">
        <v>119.6</v>
      </c>
      <c r="Z42" s="91">
        <v>137.6</v>
      </c>
      <c r="AA42" s="91">
        <v>127.9</v>
      </c>
      <c r="AB42" s="91">
        <v>111.9</v>
      </c>
      <c r="AC42" s="91">
        <v>121.5</v>
      </c>
      <c r="AD42" s="91">
        <v>121.7</v>
      </c>
      <c r="AE42" s="91">
        <v>121.4</v>
      </c>
      <c r="AF42" s="91">
        <v>131.9</v>
      </c>
      <c r="AG42" s="91">
        <v>144.5</v>
      </c>
      <c r="AI42" s="91">
        <v>207.4</v>
      </c>
      <c r="AJ42" s="91">
        <v>158</v>
      </c>
      <c r="AK42" s="91">
        <v>142.19999999999999</v>
      </c>
      <c r="AL42" s="91">
        <v>172.6</v>
      </c>
      <c r="AM42" s="91">
        <v>207.5</v>
      </c>
      <c r="AN42" s="91">
        <v>192.9</v>
      </c>
      <c r="AO42" s="91">
        <v>162.5</v>
      </c>
      <c r="AP42" s="91">
        <v>180.3</v>
      </c>
      <c r="AQ42" s="91">
        <v>179</v>
      </c>
      <c r="AR42" s="91">
        <v>178.7</v>
      </c>
      <c r="AS42" s="91">
        <v>193.7</v>
      </c>
      <c r="AT42" s="91">
        <v>214.1</v>
      </c>
    </row>
    <row r="43" spans="2:46" ht="18.75" customHeight="1" x14ac:dyDescent="0.2">
      <c r="B43" s="229" t="s">
        <v>57</v>
      </c>
      <c r="C43" s="304">
        <v>43282</v>
      </c>
      <c r="D43" s="240">
        <v>7</v>
      </c>
      <c r="E43" s="221">
        <v>444.71</v>
      </c>
      <c r="F43" s="293" t="s">
        <v>113</v>
      </c>
      <c r="G43" s="294"/>
      <c r="H43" s="294"/>
      <c r="I43" s="295"/>
      <c r="L43" s="223">
        <v>43160</v>
      </c>
      <c r="M43" s="3">
        <v>210</v>
      </c>
      <c r="N43" s="279">
        <f>X56</f>
        <v>7772.699999999998</v>
      </c>
      <c r="O43" s="3"/>
      <c r="P43" s="3"/>
      <c r="Q43" s="280">
        <f>AK56</f>
        <v>11882.3</v>
      </c>
      <c r="R43" s="213">
        <f>+Q43/M43</f>
        <v>56.582380952380952</v>
      </c>
      <c r="S43" s="89"/>
      <c r="T43" s="69">
        <v>14</v>
      </c>
      <c r="U43" s="209">
        <v>1710942</v>
      </c>
      <c r="V43" s="102">
        <v>310.89999999999998</v>
      </c>
      <c r="W43" s="208">
        <v>316.10000000000002</v>
      </c>
      <c r="X43" s="91">
        <v>138.19999999999999</v>
      </c>
      <c r="Y43" s="91">
        <v>148.6</v>
      </c>
      <c r="Z43" s="91">
        <v>146.30000000000001</v>
      </c>
      <c r="AA43" s="91">
        <v>161</v>
      </c>
      <c r="AB43" s="91">
        <v>153.1</v>
      </c>
      <c r="AC43" s="91">
        <v>144.5</v>
      </c>
      <c r="AD43" s="91">
        <v>150</v>
      </c>
      <c r="AE43" s="91">
        <v>141.69999999999999</v>
      </c>
      <c r="AF43" s="91">
        <v>156.5</v>
      </c>
      <c r="AG43" s="91">
        <v>161.80000000000001</v>
      </c>
      <c r="AI43" s="91">
        <v>297.10000000000002</v>
      </c>
      <c r="AJ43" s="91">
        <v>242.2</v>
      </c>
      <c r="AK43" s="91">
        <v>203.5</v>
      </c>
      <c r="AL43" s="91">
        <v>219.6</v>
      </c>
      <c r="AM43" s="91">
        <v>222.1</v>
      </c>
      <c r="AN43" s="91">
        <v>248.8</v>
      </c>
      <c r="AO43" s="91">
        <v>230.9</v>
      </c>
      <c r="AP43" s="91">
        <v>218.7</v>
      </c>
      <c r="AQ43" s="91">
        <v>226.4</v>
      </c>
      <c r="AR43" s="91">
        <v>212.5</v>
      </c>
      <c r="AS43" s="91">
        <v>234.8</v>
      </c>
      <c r="AT43" s="91">
        <v>243</v>
      </c>
    </row>
    <row r="44" spans="2:46" ht="18" customHeight="1" x14ac:dyDescent="0.2">
      <c r="B44" s="230" t="s">
        <v>58</v>
      </c>
      <c r="C44" s="304"/>
      <c r="D44" s="239">
        <v>4</v>
      </c>
      <c r="E44" s="241">
        <v>139.37</v>
      </c>
      <c r="F44" s="241">
        <v>172777</v>
      </c>
      <c r="G44" s="241">
        <v>171821</v>
      </c>
      <c r="H44" s="241">
        <v>856</v>
      </c>
      <c r="I44" s="226">
        <f>+H44/D44</f>
        <v>214</v>
      </c>
      <c r="J44" s="69" t="s">
        <v>100</v>
      </c>
      <c r="L44" s="223">
        <v>43191</v>
      </c>
      <c r="M44" s="3">
        <v>210</v>
      </c>
      <c r="N44" s="281">
        <f>Y56</f>
        <v>8321.36</v>
      </c>
      <c r="O44" s="235"/>
      <c r="P44" s="235"/>
      <c r="Q44" s="281">
        <f>AL56</f>
        <v>12686.6</v>
      </c>
      <c r="R44" s="213">
        <f t="shared" ref="R44:R52" si="7">+Q44/M44</f>
        <v>60.412380952380957</v>
      </c>
      <c r="S44" s="89"/>
      <c r="T44" s="69">
        <v>15</v>
      </c>
      <c r="U44" s="209">
        <v>1710944</v>
      </c>
      <c r="V44" s="102">
        <v>145.1</v>
      </c>
      <c r="W44" s="208">
        <v>140</v>
      </c>
      <c r="X44" s="91">
        <v>61.4</v>
      </c>
      <c r="Y44" s="91">
        <v>100.1</v>
      </c>
      <c r="Z44" s="91">
        <v>107.9</v>
      </c>
      <c r="AA44" s="91">
        <v>119.5</v>
      </c>
      <c r="AB44" s="91">
        <v>118.62</v>
      </c>
      <c r="AC44" s="91">
        <v>133.80000000000001</v>
      </c>
      <c r="AD44" s="91">
        <v>125</v>
      </c>
      <c r="AE44" s="91">
        <v>116.7</v>
      </c>
      <c r="AF44" s="91">
        <v>123.4</v>
      </c>
      <c r="AG44" s="91">
        <v>129</v>
      </c>
      <c r="AI44" s="91">
        <v>129.4</v>
      </c>
      <c r="AJ44" s="91">
        <v>112.1</v>
      </c>
      <c r="AK44" s="91">
        <v>99.4</v>
      </c>
      <c r="AL44" s="91">
        <v>148.19999999999999</v>
      </c>
      <c r="AM44" s="91">
        <v>157.80000000000001</v>
      </c>
      <c r="AN44" s="91">
        <v>178.8</v>
      </c>
      <c r="AO44" s="91">
        <v>196</v>
      </c>
      <c r="AP44" s="91">
        <v>200.8</v>
      </c>
      <c r="AQ44" s="91">
        <v>184.6</v>
      </c>
      <c r="AR44" s="91">
        <v>170.8</v>
      </c>
      <c r="AS44" s="91">
        <v>179.4</v>
      </c>
      <c r="AT44" s="91">
        <v>188.3</v>
      </c>
    </row>
    <row r="45" spans="2:46" ht="18.75" customHeight="1" x14ac:dyDescent="0.2">
      <c r="B45" s="230" t="s">
        <v>59</v>
      </c>
      <c r="C45" s="304"/>
      <c r="D45" s="240">
        <v>4</v>
      </c>
      <c r="E45" s="221">
        <v>210</v>
      </c>
      <c r="F45" s="226">
        <v>49546</v>
      </c>
      <c r="G45" s="226">
        <v>49324</v>
      </c>
      <c r="H45" s="267">
        <f t="shared" ref="H45:H72" si="8">F45-G45</f>
        <v>222</v>
      </c>
      <c r="I45" s="267">
        <f t="shared" ref="I45:I72" si="9">G45-H45</f>
        <v>49102</v>
      </c>
      <c r="K45" s="75"/>
      <c r="L45" s="223">
        <v>43221</v>
      </c>
      <c r="M45" s="3">
        <v>210</v>
      </c>
      <c r="N45" s="196">
        <f>Z56</f>
        <v>7985.4</v>
      </c>
      <c r="O45" s="196"/>
      <c r="P45" s="196"/>
      <c r="Q45" s="213">
        <f>AM56</f>
        <v>12465.400000000001</v>
      </c>
      <c r="R45" s="213">
        <f t="shared" si="7"/>
        <v>59.359047619047629</v>
      </c>
      <c r="S45" s="89"/>
      <c r="T45" s="69">
        <v>16</v>
      </c>
      <c r="U45" s="209">
        <v>1710945</v>
      </c>
      <c r="V45" s="102">
        <v>263.7</v>
      </c>
      <c r="W45" s="208">
        <v>300.60000000000002</v>
      </c>
      <c r="X45" s="91">
        <v>145.69999999999999</v>
      </c>
      <c r="Y45" s="91">
        <v>157.6</v>
      </c>
      <c r="Z45" s="91">
        <v>155.1</v>
      </c>
      <c r="AA45" s="91">
        <v>162.5</v>
      </c>
      <c r="AB45" s="91">
        <v>180.9</v>
      </c>
      <c r="AC45" s="91">
        <v>181.3</v>
      </c>
      <c r="AD45" s="91">
        <v>187.9</v>
      </c>
      <c r="AE45" s="91">
        <v>167.8</v>
      </c>
      <c r="AF45" s="91">
        <v>180.7</v>
      </c>
      <c r="AG45" s="91">
        <v>169.4</v>
      </c>
      <c r="AI45" s="91">
        <v>232.1</v>
      </c>
      <c r="AJ45" s="91">
        <v>280.3</v>
      </c>
      <c r="AK45" s="91">
        <v>215.8</v>
      </c>
      <c r="AL45" s="91">
        <v>234.3</v>
      </c>
      <c r="AM45" s="91">
        <v>236.7</v>
      </c>
      <c r="AN45" s="91">
        <v>251.4</v>
      </c>
      <c r="AO45" s="91">
        <v>277.39999999999998</v>
      </c>
      <c r="AP45" s="91">
        <v>280</v>
      </c>
      <c r="AQ45" s="91">
        <v>289.7</v>
      </c>
      <c r="AR45" s="91">
        <v>256.10000000000002</v>
      </c>
      <c r="AS45" s="91">
        <v>275.39999999999998</v>
      </c>
      <c r="AT45" s="91">
        <v>255.6</v>
      </c>
    </row>
    <row r="46" spans="2:46" ht="18" customHeight="1" x14ac:dyDescent="0.2">
      <c r="B46" s="230" t="s">
        <v>60</v>
      </c>
      <c r="C46" s="304"/>
      <c r="D46" s="240">
        <v>5</v>
      </c>
      <c r="E46" s="221">
        <v>227</v>
      </c>
      <c r="F46" s="226">
        <v>53141</v>
      </c>
      <c r="G46" s="226">
        <v>52801</v>
      </c>
      <c r="H46" s="267">
        <f t="shared" si="8"/>
        <v>340</v>
      </c>
      <c r="I46" s="267">
        <f t="shared" si="9"/>
        <v>52461</v>
      </c>
      <c r="L46" s="223">
        <v>43252</v>
      </c>
      <c r="M46" s="3">
        <v>210</v>
      </c>
      <c r="N46" s="196">
        <f>AA56</f>
        <v>7431.1500000000005</v>
      </c>
      <c r="O46" s="196"/>
      <c r="P46" s="196"/>
      <c r="Q46" s="213">
        <f>AN56</f>
        <v>12609.32</v>
      </c>
      <c r="R46" s="213">
        <f t="shared" si="7"/>
        <v>60.044380952380948</v>
      </c>
      <c r="S46" s="89"/>
      <c r="T46" s="69">
        <v>17</v>
      </c>
      <c r="U46" s="209">
        <v>1710946</v>
      </c>
      <c r="V46" s="102">
        <v>219.1</v>
      </c>
      <c r="W46" s="208">
        <v>209.5</v>
      </c>
      <c r="X46" s="91">
        <v>95.1</v>
      </c>
      <c r="Y46" s="91">
        <v>91.9</v>
      </c>
      <c r="Z46" s="91">
        <v>119.3</v>
      </c>
      <c r="AA46" s="91">
        <v>124.2</v>
      </c>
      <c r="AB46" s="91">
        <v>133.9</v>
      </c>
      <c r="AC46" s="91">
        <v>145.9</v>
      </c>
      <c r="AD46" s="91">
        <v>136.6</v>
      </c>
      <c r="AE46" s="91">
        <v>111.8</v>
      </c>
      <c r="AF46" s="91">
        <v>118.9</v>
      </c>
      <c r="AG46" s="91">
        <v>125.9</v>
      </c>
      <c r="AI46" s="91">
        <v>194.1</v>
      </c>
      <c r="AJ46" s="91">
        <v>153</v>
      </c>
      <c r="AK46" s="91">
        <v>140.4</v>
      </c>
      <c r="AL46" s="91">
        <v>134.69999999999999</v>
      </c>
      <c r="AM46" s="91">
        <v>176.9</v>
      </c>
      <c r="AN46" s="91">
        <v>186.7</v>
      </c>
      <c r="AO46" s="91">
        <v>199.5</v>
      </c>
      <c r="AP46" s="91">
        <v>221</v>
      </c>
      <c r="AQ46" s="91">
        <v>203.9</v>
      </c>
      <c r="AR46" s="91">
        <v>162.6</v>
      </c>
      <c r="AS46" s="91">
        <v>172</v>
      </c>
      <c r="AT46" s="91">
        <v>183</v>
      </c>
    </row>
    <row r="47" spans="2:46" ht="19.5" customHeight="1" x14ac:dyDescent="0.2">
      <c r="B47" s="230" t="s">
        <v>61</v>
      </c>
      <c r="C47" s="304"/>
      <c r="D47" s="240">
        <v>6</v>
      </c>
      <c r="E47" s="221">
        <v>254.5</v>
      </c>
      <c r="F47" s="226">
        <v>90164</v>
      </c>
      <c r="G47" s="226">
        <v>89781</v>
      </c>
      <c r="H47" s="267">
        <f t="shared" si="8"/>
        <v>383</v>
      </c>
      <c r="I47" s="267">
        <f t="shared" si="9"/>
        <v>89398</v>
      </c>
      <c r="L47" s="223">
        <v>43282</v>
      </c>
      <c r="M47" s="3">
        <v>210</v>
      </c>
      <c r="N47" s="196">
        <f>AB56</f>
        <v>8374.26</v>
      </c>
      <c r="O47" s="282"/>
      <c r="P47" s="282"/>
      <c r="Q47" s="213">
        <f>AO56</f>
        <v>12860.119999999999</v>
      </c>
      <c r="R47" s="213">
        <f t="shared" si="7"/>
        <v>61.23866666666666</v>
      </c>
      <c r="S47" s="89"/>
      <c r="T47" s="69">
        <v>18</v>
      </c>
      <c r="U47" s="209">
        <v>1710947</v>
      </c>
      <c r="V47" s="102">
        <v>333.7</v>
      </c>
      <c r="W47" s="208">
        <v>348.4</v>
      </c>
      <c r="X47" s="91">
        <v>191.5</v>
      </c>
      <c r="Y47" s="91">
        <v>191.8</v>
      </c>
      <c r="Z47" s="91">
        <v>181</v>
      </c>
      <c r="AA47" s="91">
        <v>190</v>
      </c>
      <c r="AB47" s="91">
        <v>187.2</v>
      </c>
      <c r="AC47" s="91">
        <v>217.1</v>
      </c>
      <c r="AD47" s="91">
        <v>235.6</v>
      </c>
      <c r="AE47" s="91">
        <v>221.3</v>
      </c>
      <c r="AF47" s="91">
        <v>225.8</v>
      </c>
      <c r="AG47" s="91">
        <v>226.4</v>
      </c>
      <c r="AI47" s="91">
        <v>318.3</v>
      </c>
      <c r="AJ47" s="91">
        <v>286.2</v>
      </c>
      <c r="AK47" s="91">
        <v>290.60000000000002</v>
      </c>
      <c r="AL47" s="91">
        <v>289.8</v>
      </c>
      <c r="AM47" s="91">
        <v>279.89999999999998</v>
      </c>
      <c r="AN47" s="91">
        <v>297.7</v>
      </c>
      <c r="AO47" s="91">
        <v>287.60000000000002</v>
      </c>
      <c r="AP47" s="91">
        <v>334.2</v>
      </c>
      <c r="AQ47" s="91">
        <v>363</v>
      </c>
      <c r="AR47" s="91">
        <v>339</v>
      </c>
      <c r="AS47" s="91">
        <v>343.6</v>
      </c>
      <c r="AT47" s="91">
        <v>343.3</v>
      </c>
    </row>
    <row r="48" spans="2:46" ht="18" customHeight="1" x14ac:dyDescent="0.2">
      <c r="B48" s="229" t="s">
        <v>57</v>
      </c>
      <c r="C48" s="304">
        <v>43313</v>
      </c>
      <c r="D48" s="240">
        <v>7</v>
      </c>
      <c r="E48" s="221">
        <v>479.5</v>
      </c>
      <c r="F48" s="293" t="s">
        <v>113</v>
      </c>
      <c r="G48" s="294"/>
      <c r="H48" s="294"/>
      <c r="I48" s="295"/>
      <c r="L48" s="223">
        <v>43313</v>
      </c>
      <c r="M48" s="3">
        <v>210</v>
      </c>
      <c r="N48" s="196">
        <f>AC56</f>
        <v>8651.6</v>
      </c>
      <c r="O48" s="282"/>
      <c r="P48" s="282"/>
      <c r="Q48" s="213">
        <f>AP56</f>
        <v>13490.699999999999</v>
      </c>
      <c r="R48" s="213">
        <f t="shared" si="7"/>
        <v>64.241428571428571</v>
      </c>
      <c r="S48" s="89"/>
      <c r="T48" s="69">
        <v>19</v>
      </c>
      <c r="U48" s="209">
        <v>1710948</v>
      </c>
      <c r="V48" s="102">
        <v>274.2</v>
      </c>
      <c r="W48" s="208">
        <v>284.39999999999998</v>
      </c>
      <c r="X48" s="91">
        <v>158.30000000000001</v>
      </c>
      <c r="Y48" s="91">
        <v>155.6</v>
      </c>
      <c r="Z48" s="91">
        <v>141.5</v>
      </c>
      <c r="AA48" s="91">
        <v>135.1</v>
      </c>
      <c r="AB48" s="91">
        <v>154.1</v>
      </c>
      <c r="AC48" s="91">
        <v>171.2</v>
      </c>
      <c r="AD48" s="91">
        <v>181.6</v>
      </c>
      <c r="AE48" s="91">
        <v>206.3</v>
      </c>
      <c r="AF48" s="91">
        <v>238.2</v>
      </c>
      <c r="AG48" s="91">
        <v>205.4</v>
      </c>
      <c r="AI48" s="91">
        <v>252.4</v>
      </c>
      <c r="AJ48" s="91">
        <v>232.5</v>
      </c>
      <c r="AK48" s="91">
        <v>236.5</v>
      </c>
      <c r="AL48" s="91">
        <v>230.9</v>
      </c>
      <c r="AM48" s="91">
        <v>214</v>
      </c>
      <c r="AN48" s="91">
        <v>205.2</v>
      </c>
      <c r="AO48" s="91">
        <v>232.9</v>
      </c>
      <c r="AP48" s="91">
        <v>263.3</v>
      </c>
      <c r="AQ48" s="91">
        <v>279.10000000000002</v>
      </c>
      <c r="AR48" s="91">
        <v>314</v>
      </c>
      <c r="AS48" s="91">
        <v>364.4</v>
      </c>
      <c r="AT48" s="91">
        <v>308.3</v>
      </c>
    </row>
    <row r="49" spans="2:46" ht="18" customHeight="1" x14ac:dyDescent="0.2">
      <c r="B49" s="230" t="s">
        <v>58</v>
      </c>
      <c r="C49" s="304"/>
      <c r="D49" s="239">
        <v>4</v>
      </c>
      <c r="E49" s="241">
        <v>139.37</v>
      </c>
      <c r="F49" s="241">
        <v>172777</v>
      </c>
      <c r="G49" s="241">
        <v>171821</v>
      </c>
      <c r="H49" s="241">
        <v>856</v>
      </c>
      <c r="I49" s="226">
        <f>+H49/D49</f>
        <v>214</v>
      </c>
      <c r="J49" s="69" t="s">
        <v>100</v>
      </c>
      <c r="L49" s="223">
        <v>43344</v>
      </c>
      <c r="M49" s="3">
        <v>210</v>
      </c>
      <c r="N49" s="196">
        <f>AD56</f>
        <v>8491.3200000000015</v>
      </c>
      <c r="O49" s="282"/>
      <c r="P49" s="282"/>
      <c r="Q49" s="213">
        <f>AQ56</f>
        <v>13135.199999999999</v>
      </c>
      <c r="R49" s="213">
        <f t="shared" si="7"/>
        <v>62.548571428571421</v>
      </c>
      <c r="S49" s="89"/>
      <c r="T49" s="69">
        <v>20</v>
      </c>
      <c r="U49" s="209">
        <v>1710949</v>
      </c>
      <c r="V49" s="102">
        <v>296.39999999999998</v>
      </c>
      <c r="W49" s="208">
        <v>372.6</v>
      </c>
      <c r="X49" s="91">
        <v>137.69999999999999</v>
      </c>
      <c r="Y49" s="91">
        <v>171.7</v>
      </c>
      <c r="Z49" s="91">
        <v>167</v>
      </c>
      <c r="AA49" s="91">
        <v>104.2</v>
      </c>
      <c r="AB49" s="91">
        <v>93.3</v>
      </c>
      <c r="AC49" s="91">
        <v>88.6</v>
      </c>
      <c r="AD49" s="91">
        <v>104.72</v>
      </c>
      <c r="AE49" s="91">
        <v>94.5</v>
      </c>
      <c r="AF49" s="91">
        <v>98.2</v>
      </c>
      <c r="AG49" s="91">
        <v>205</v>
      </c>
      <c r="AI49" s="91">
        <v>303.39999999999998</v>
      </c>
      <c r="AJ49" s="91">
        <v>311.7</v>
      </c>
      <c r="AK49" s="91">
        <v>202.7</v>
      </c>
      <c r="AL49" s="91">
        <v>257.3</v>
      </c>
      <c r="AM49" s="91">
        <v>256.5</v>
      </c>
      <c r="AN49" s="91">
        <v>153.1</v>
      </c>
      <c r="AO49" s="91">
        <v>138.69999999999999</v>
      </c>
      <c r="AP49" s="91">
        <v>132.9</v>
      </c>
      <c r="AQ49" s="91">
        <v>154.25</v>
      </c>
      <c r="AR49" s="91">
        <v>141.80000000000001</v>
      </c>
      <c r="AS49" s="91">
        <v>147</v>
      </c>
      <c r="AT49" s="91">
        <v>307.7</v>
      </c>
    </row>
    <row r="50" spans="2:46" ht="17.25" customHeight="1" x14ac:dyDescent="0.2">
      <c r="B50" s="230" t="s">
        <v>59</v>
      </c>
      <c r="C50" s="304"/>
      <c r="D50" s="240">
        <v>4</v>
      </c>
      <c r="E50" s="221">
        <v>210</v>
      </c>
      <c r="F50" s="226">
        <v>49546</v>
      </c>
      <c r="G50" s="226">
        <v>49324</v>
      </c>
      <c r="H50" s="267">
        <f t="shared" ref="H50" si="10">F50-G50</f>
        <v>222</v>
      </c>
      <c r="I50" s="267">
        <f t="shared" ref="I50" si="11">G50-H50</f>
        <v>49102</v>
      </c>
      <c r="K50" s="75"/>
      <c r="L50" s="223">
        <v>43374</v>
      </c>
      <c r="M50" s="3">
        <v>210</v>
      </c>
      <c r="N50" s="196">
        <f>AE56</f>
        <v>7914.2</v>
      </c>
      <c r="O50" s="196"/>
      <c r="P50" s="196"/>
      <c r="Q50" s="213">
        <f>AR56</f>
        <v>12272.7</v>
      </c>
      <c r="R50" s="213">
        <f t="shared" si="7"/>
        <v>58.441428571428574</v>
      </c>
      <c r="S50" s="89"/>
      <c r="T50" s="69">
        <v>21</v>
      </c>
      <c r="U50" s="209">
        <v>1710950</v>
      </c>
      <c r="V50" s="102">
        <v>131.4</v>
      </c>
      <c r="W50" s="208">
        <v>92.2</v>
      </c>
      <c r="X50" s="91">
        <v>55.4</v>
      </c>
      <c r="Y50" s="91">
        <v>41.4</v>
      </c>
      <c r="Z50" s="91">
        <v>52.2</v>
      </c>
      <c r="AA50" s="91">
        <v>80.3</v>
      </c>
      <c r="AB50" s="91">
        <v>105.3</v>
      </c>
      <c r="AC50" s="91">
        <v>126.8</v>
      </c>
      <c r="AD50" s="91">
        <v>125.5</v>
      </c>
      <c r="AE50" s="91">
        <v>111.9</v>
      </c>
      <c r="AF50" s="91">
        <v>122.1</v>
      </c>
      <c r="AG50" s="91">
        <v>132.1</v>
      </c>
      <c r="AI50" s="91">
        <v>119.7</v>
      </c>
      <c r="AJ50" s="91">
        <v>45.9</v>
      </c>
      <c r="AK50" s="91">
        <v>89.2</v>
      </c>
      <c r="AL50" s="91">
        <v>65</v>
      </c>
      <c r="AM50" s="91">
        <v>85.9</v>
      </c>
      <c r="AN50" s="91">
        <v>120.3</v>
      </c>
      <c r="AO50" s="91">
        <v>152.5</v>
      </c>
      <c r="AP50" s="91">
        <v>189.1</v>
      </c>
      <c r="AQ50" s="91">
        <v>185.4</v>
      </c>
      <c r="AR50" s="91">
        <v>162.69999999999999</v>
      </c>
      <c r="AS50" s="91">
        <v>177.3</v>
      </c>
      <c r="AT50" s="91">
        <v>193.4</v>
      </c>
    </row>
    <row r="51" spans="2:46" ht="18" customHeight="1" x14ac:dyDescent="0.2">
      <c r="B51" s="230" t="s">
        <v>60</v>
      </c>
      <c r="C51" s="304"/>
      <c r="D51" s="240">
        <v>5</v>
      </c>
      <c r="E51" s="221">
        <v>223</v>
      </c>
      <c r="F51" s="226">
        <v>53472</v>
      </c>
      <c r="G51" s="226">
        <v>53141</v>
      </c>
      <c r="H51" s="267">
        <f t="shared" si="8"/>
        <v>331</v>
      </c>
      <c r="I51" s="267">
        <f t="shared" si="9"/>
        <v>52810</v>
      </c>
      <c r="L51" s="223">
        <v>43405</v>
      </c>
      <c r="M51" s="3">
        <v>210</v>
      </c>
      <c r="N51" s="196">
        <f>AF56</f>
        <v>8183.9999999999991</v>
      </c>
      <c r="O51" s="196"/>
      <c r="P51" s="196"/>
      <c r="Q51" s="213">
        <f>AS56</f>
        <v>12585.399999999998</v>
      </c>
      <c r="R51" s="213">
        <f t="shared" si="7"/>
        <v>59.930476190476178</v>
      </c>
      <c r="S51" s="89"/>
      <c r="T51" s="69">
        <v>22</v>
      </c>
      <c r="U51" s="209">
        <v>1710951</v>
      </c>
      <c r="V51" s="102">
        <v>171.9</v>
      </c>
      <c r="W51" s="208">
        <v>187.3</v>
      </c>
      <c r="X51" s="91">
        <v>91.3</v>
      </c>
      <c r="Y51" s="91">
        <v>86</v>
      </c>
      <c r="Z51" s="91">
        <v>83.2</v>
      </c>
      <c r="AA51" s="91">
        <v>82.5</v>
      </c>
      <c r="AB51" s="91">
        <v>80.900000000000006</v>
      </c>
      <c r="AC51" s="91">
        <v>91.9</v>
      </c>
      <c r="AD51" s="91">
        <v>88.2</v>
      </c>
      <c r="AE51" s="91">
        <v>79.7</v>
      </c>
      <c r="AF51" s="91">
        <v>82.8</v>
      </c>
      <c r="AG51" s="91">
        <v>82.2</v>
      </c>
      <c r="AI51" s="91">
        <v>150.80000000000001</v>
      </c>
      <c r="AJ51" s="91">
        <v>155.69999999999999</v>
      </c>
      <c r="AK51" s="91">
        <v>134.30000000000001</v>
      </c>
      <c r="AL51" s="91">
        <v>125</v>
      </c>
      <c r="AM51" s="91">
        <v>124</v>
      </c>
      <c r="AN51" s="91">
        <v>123.9</v>
      </c>
      <c r="AO51" s="91">
        <v>118.9</v>
      </c>
      <c r="AP51" s="91">
        <v>138.30000000000001</v>
      </c>
      <c r="AQ51" s="91">
        <v>131.30000000000001</v>
      </c>
      <c r="AR51" s="91">
        <v>117.2</v>
      </c>
      <c r="AS51" s="91">
        <v>121.1</v>
      </c>
      <c r="AT51" s="91">
        <v>119.6</v>
      </c>
    </row>
    <row r="52" spans="2:46" ht="18.75" customHeight="1" x14ac:dyDescent="0.2">
      <c r="B52" s="230" t="s">
        <v>61</v>
      </c>
      <c r="C52" s="304"/>
      <c r="D52" s="240">
        <v>6</v>
      </c>
      <c r="E52" s="221">
        <v>276</v>
      </c>
      <c r="F52" s="226">
        <v>90580</v>
      </c>
      <c r="G52" s="226">
        <v>90164</v>
      </c>
      <c r="H52" s="267">
        <f t="shared" si="8"/>
        <v>416</v>
      </c>
      <c r="I52" s="267">
        <f t="shared" si="9"/>
        <v>89748</v>
      </c>
      <c r="J52" s="73"/>
      <c r="L52" s="223">
        <v>43435</v>
      </c>
      <c r="M52" s="3">
        <v>210</v>
      </c>
      <c r="N52" s="196">
        <f>AG56</f>
        <v>8202.8999999999978</v>
      </c>
      <c r="O52" s="196"/>
      <c r="P52" s="196"/>
      <c r="Q52" s="213">
        <f>AT56</f>
        <v>12573.400000000001</v>
      </c>
      <c r="R52" s="213">
        <f t="shared" si="7"/>
        <v>59.873333333333342</v>
      </c>
      <c r="S52" s="89"/>
      <c r="T52" s="69">
        <v>23</v>
      </c>
      <c r="U52" s="209">
        <v>1710952</v>
      </c>
      <c r="V52" s="102">
        <v>128.6</v>
      </c>
      <c r="W52" s="208">
        <v>141.69999999999999</v>
      </c>
      <c r="X52" s="124">
        <v>52</v>
      </c>
      <c r="Y52" s="91">
        <v>37.1</v>
      </c>
      <c r="Z52" s="91">
        <v>52.6</v>
      </c>
      <c r="AA52" s="91">
        <v>70.8</v>
      </c>
      <c r="AB52" s="91">
        <v>72</v>
      </c>
      <c r="AC52" s="91">
        <v>79</v>
      </c>
      <c r="AD52" s="91">
        <v>73.400000000000006</v>
      </c>
      <c r="AE52" s="91">
        <v>72.2</v>
      </c>
      <c r="AF52" s="91">
        <v>71.5</v>
      </c>
      <c r="AG52" s="91">
        <v>60.4</v>
      </c>
      <c r="AI52" s="91">
        <v>116</v>
      </c>
      <c r="AJ52" s="91">
        <v>118</v>
      </c>
      <c r="AK52" s="91">
        <v>83.5</v>
      </c>
      <c r="AL52" s="91">
        <v>57.8</v>
      </c>
      <c r="AM52" s="91">
        <v>86.7</v>
      </c>
      <c r="AN52" s="91">
        <v>104.1</v>
      </c>
      <c r="AO52" s="91">
        <v>104.3</v>
      </c>
      <c r="AP52" s="91">
        <v>116.8</v>
      </c>
      <c r="AQ52" s="91">
        <v>106.6</v>
      </c>
      <c r="AR52" s="91">
        <v>104.6</v>
      </c>
      <c r="AS52" s="91">
        <v>102.2</v>
      </c>
      <c r="AT52" s="91">
        <v>97.7</v>
      </c>
    </row>
    <row r="53" spans="2:46" ht="18" customHeight="1" x14ac:dyDescent="0.2">
      <c r="B53" s="229" t="s">
        <v>57</v>
      </c>
      <c r="C53" s="304">
        <v>43344</v>
      </c>
      <c r="D53" s="240">
        <v>7</v>
      </c>
      <c r="E53" s="196">
        <v>479.5</v>
      </c>
      <c r="F53" s="197">
        <v>64979</v>
      </c>
      <c r="G53" s="197">
        <v>63074</v>
      </c>
      <c r="H53" s="197">
        <v>1905</v>
      </c>
      <c r="I53" s="226">
        <f t="shared" ref="I53" si="12">+H53/D53</f>
        <v>272.14285714285717</v>
      </c>
      <c r="L53" s="224" t="s">
        <v>2</v>
      </c>
      <c r="M53" s="283">
        <f>AVERAGE(M41:M52)</f>
        <v>210</v>
      </c>
      <c r="N53" s="283">
        <f>AVERAGE(N41:N52)</f>
        <v>9029.7241666666669</v>
      </c>
      <c r="O53" s="283"/>
      <c r="P53" s="283"/>
      <c r="Q53" s="283">
        <f>AVERAGE(Q41:Q52)</f>
        <v>12655.961666666664</v>
      </c>
      <c r="R53" s="213">
        <f>AVERAGE(R41:R52)</f>
        <v>60.266484126984118</v>
      </c>
      <c r="S53" s="89"/>
      <c r="T53" s="69">
        <v>24</v>
      </c>
      <c r="U53" s="209">
        <v>1710953</v>
      </c>
      <c r="V53" s="102">
        <v>76</v>
      </c>
      <c r="W53" s="208">
        <v>80.400000000000006</v>
      </c>
      <c r="X53" s="91">
        <v>46.9</v>
      </c>
      <c r="Y53" s="91">
        <v>34.4</v>
      </c>
      <c r="Z53" s="91">
        <v>35.9</v>
      </c>
      <c r="AA53" s="91">
        <v>70.099999999999994</v>
      </c>
      <c r="AB53" s="91">
        <v>69.900000000000006</v>
      </c>
      <c r="AC53" s="91">
        <v>81.900000000000006</v>
      </c>
      <c r="AD53" s="91">
        <v>84.7</v>
      </c>
      <c r="AE53" s="91">
        <v>59.1</v>
      </c>
      <c r="AF53" s="91">
        <v>40.4</v>
      </c>
      <c r="AG53" s="91">
        <v>33.4</v>
      </c>
      <c r="AI53" s="91">
        <v>63.3</v>
      </c>
      <c r="AJ53" s="91">
        <v>76.400000000000006</v>
      </c>
      <c r="AK53" s="91">
        <v>74.7</v>
      </c>
      <c r="AL53" s="91">
        <v>53.4</v>
      </c>
      <c r="AM53" s="91">
        <v>57.5</v>
      </c>
      <c r="AN53" s="91">
        <v>103</v>
      </c>
      <c r="AO53" s="91">
        <v>100.9</v>
      </c>
      <c r="AP53" s="91">
        <v>121.6</v>
      </c>
      <c r="AQ53" s="91">
        <v>125.4</v>
      </c>
      <c r="AR53" s="91">
        <v>97.6</v>
      </c>
      <c r="AS53" s="91">
        <v>63.6</v>
      </c>
      <c r="AT53" s="91">
        <v>51</v>
      </c>
    </row>
    <row r="54" spans="2:46" ht="18" customHeight="1" x14ac:dyDescent="0.2">
      <c r="B54" s="230" t="s">
        <v>58</v>
      </c>
      <c r="C54" s="304"/>
      <c r="D54" s="240">
        <v>4</v>
      </c>
      <c r="E54" s="196">
        <v>121.08</v>
      </c>
      <c r="F54" s="196" t="s">
        <v>112</v>
      </c>
      <c r="G54" s="196" t="s">
        <v>112</v>
      </c>
      <c r="H54" s="197">
        <v>750</v>
      </c>
      <c r="I54" s="226">
        <f t="shared" ref="I54" si="13">+H54/D54</f>
        <v>187.5</v>
      </c>
      <c r="J54" s="73" t="s">
        <v>100</v>
      </c>
      <c r="L54" s="94"/>
      <c r="T54" s="69">
        <v>25</v>
      </c>
      <c r="U54" s="210">
        <v>1710954</v>
      </c>
      <c r="V54" s="102">
        <v>26.1</v>
      </c>
      <c r="W54" s="102">
        <v>26.1</v>
      </c>
      <c r="X54" s="101">
        <v>13.2</v>
      </c>
      <c r="Y54" s="91">
        <v>10.5</v>
      </c>
      <c r="Z54" s="101">
        <v>11.4</v>
      </c>
      <c r="AA54" s="101">
        <v>13.7</v>
      </c>
      <c r="AB54" s="101">
        <v>11</v>
      </c>
      <c r="AC54" s="101">
        <v>14.2</v>
      </c>
      <c r="AD54" s="101">
        <v>11.2</v>
      </c>
      <c r="AE54" s="101">
        <v>7.5</v>
      </c>
      <c r="AF54" s="101">
        <v>10.199999999999999</v>
      </c>
      <c r="AG54" s="101">
        <v>8.3000000000000007</v>
      </c>
      <c r="AI54" s="101">
        <v>20</v>
      </c>
      <c r="AJ54" s="101">
        <v>20</v>
      </c>
      <c r="AK54" s="101">
        <v>17.8</v>
      </c>
      <c r="AL54" s="91">
        <v>11.6</v>
      </c>
      <c r="AM54" s="101">
        <v>14.1</v>
      </c>
      <c r="AN54" s="101">
        <v>19.7</v>
      </c>
      <c r="AO54" s="101">
        <v>13</v>
      </c>
      <c r="AP54" s="101">
        <v>20.399999999999999</v>
      </c>
      <c r="AQ54" s="101">
        <v>13.6</v>
      </c>
      <c r="AR54" s="101">
        <v>4.9000000000000004</v>
      </c>
      <c r="AS54" s="101">
        <v>10.9</v>
      </c>
      <c r="AT54" s="101">
        <v>6.1</v>
      </c>
    </row>
    <row r="55" spans="2:46" ht="19.5" customHeight="1" x14ac:dyDescent="0.2">
      <c r="B55" s="230" t="s">
        <v>59</v>
      </c>
      <c r="C55" s="304"/>
      <c r="D55" s="240">
        <v>4</v>
      </c>
      <c r="E55" s="221">
        <v>204</v>
      </c>
      <c r="F55" s="226">
        <v>50261</v>
      </c>
      <c r="G55" s="226">
        <v>49957</v>
      </c>
      <c r="H55" s="267">
        <f t="shared" si="8"/>
        <v>304</v>
      </c>
      <c r="I55" s="267">
        <f t="shared" si="9"/>
        <v>49653</v>
      </c>
      <c r="J55" s="73"/>
      <c r="K55" s="95"/>
      <c r="T55" s="69">
        <v>26</v>
      </c>
      <c r="U55" s="209">
        <v>1710955</v>
      </c>
      <c r="V55" s="102">
        <v>18.899999999999999</v>
      </c>
      <c r="W55" s="102">
        <v>18.899999999999999</v>
      </c>
      <c r="X55" s="92">
        <v>72.900000000000006</v>
      </c>
      <c r="Y55" s="92">
        <v>90.6</v>
      </c>
      <c r="Z55" s="92">
        <v>90.5</v>
      </c>
      <c r="AA55" s="102">
        <v>120.5</v>
      </c>
      <c r="AB55" s="102">
        <v>115.12</v>
      </c>
      <c r="AC55" s="101">
        <v>93.9</v>
      </c>
      <c r="AD55" s="102">
        <v>88.5</v>
      </c>
      <c r="AE55" s="102">
        <v>39</v>
      </c>
      <c r="AF55" s="102">
        <v>99.2</v>
      </c>
      <c r="AG55" s="102">
        <v>93.7</v>
      </c>
      <c r="AI55" s="102">
        <v>27.7</v>
      </c>
      <c r="AJ55" s="102">
        <v>27.7</v>
      </c>
      <c r="AK55" s="102">
        <v>104.4</v>
      </c>
      <c r="AL55" s="102">
        <v>132.69999999999999</v>
      </c>
      <c r="AM55" s="102">
        <v>136.1</v>
      </c>
      <c r="AN55" s="102">
        <v>180.6</v>
      </c>
      <c r="AO55" s="102">
        <v>156</v>
      </c>
      <c r="AP55" s="102">
        <v>141.6</v>
      </c>
      <c r="AQ55" s="102">
        <v>132</v>
      </c>
      <c r="AR55" s="102">
        <v>62.4</v>
      </c>
      <c r="AS55" s="102">
        <v>148.6</v>
      </c>
      <c r="AT55" s="92">
        <v>139</v>
      </c>
    </row>
    <row r="56" spans="2:46" ht="18" customHeight="1" x14ac:dyDescent="0.2">
      <c r="B56" s="230" t="s">
        <v>60</v>
      </c>
      <c r="C56" s="304"/>
      <c r="D56" s="240">
        <v>5</v>
      </c>
      <c r="E56" s="221">
        <v>223</v>
      </c>
      <c r="F56" s="226">
        <v>53472</v>
      </c>
      <c r="G56" s="226">
        <v>53141</v>
      </c>
      <c r="H56" s="267">
        <f t="shared" si="8"/>
        <v>331</v>
      </c>
      <c r="I56" s="267">
        <f t="shared" ref="I56" si="14">G56-H56</f>
        <v>52810</v>
      </c>
      <c r="V56" s="211">
        <f>SUM(V32:V54)</f>
        <v>12451.700000000003</v>
      </c>
      <c r="W56" s="211">
        <f>SUM(W30:W55)</f>
        <v>14576.100000000002</v>
      </c>
      <c r="X56" s="103">
        <f>SUM(X30:X55)</f>
        <v>7772.699999999998</v>
      </c>
      <c r="Y56" s="103">
        <f>SUM(Y30:Y55)</f>
        <v>8321.36</v>
      </c>
      <c r="Z56" s="104">
        <f t="shared" ref="Z56:AG56" si="15">SUM(Z30:Z55)</f>
        <v>7985.4</v>
      </c>
      <c r="AA56" s="104">
        <f>SUM(AA31:AA55)</f>
        <v>7431.1500000000005</v>
      </c>
      <c r="AB56" s="104">
        <f>SUM(AB30:AB55)</f>
        <v>8374.26</v>
      </c>
      <c r="AC56" s="106">
        <f t="shared" si="15"/>
        <v>8651.6</v>
      </c>
      <c r="AD56" s="104">
        <f>SUM(AD30:AD55)</f>
        <v>8491.3200000000015</v>
      </c>
      <c r="AE56" s="104">
        <f t="shared" si="15"/>
        <v>7914.2</v>
      </c>
      <c r="AF56" s="104">
        <f t="shared" si="15"/>
        <v>8183.9999999999991</v>
      </c>
      <c r="AG56" s="104">
        <f t="shared" si="15"/>
        <v>8202.8999999999978</v>
      </c>
      <c r="AH56" s="105"/>
      <c r="AI56" s="106">
        <f>SUM(AI31:AI54)</f>
        <v>13051.199999999999</v>
      </c>
      <c r="AJ56" s="106">
        <f>SUM(AJ30:AJ55)</f>
        <v>12259.2</v>
      </c>
      <c r="AK56" s="106">
        <f>SUM(AK30:AK55)</f>
        <v>11882.3</v>
      </c>
      <c r="AL56" s="106">
        <f>SUM(AL30:AL55)</f>
        <v>12686.6</v>
      </c>
      <c r="AM56" s="106">
        <f t="shared" ref="AM56:AT56" si="16">SUM(AM30:AM55)</f>
        <v>12465.400000000001</v>
      </c>
      <c r="AN56" s="106">
        <f t="shared" si="16"/>
        <v>12609.32</v>
      </c>
      <c r="AO56" s="106">
        <f t="shared" si="16"/>
        <v>12860.119999999999</v>
      </c>
      <c r="AP56" s="106">
        <f t="shared" si="16"/>
        <v>13490.699999999999</v>
      </c>
      <c r="AQ56" s="106">
        <f t="shared" si="16"/>
        <v>13135.199999999999</v>
      </c>
      <c r="AR56" s="106">
        <f t="shared" si="16"/>
        <v>12272.7</v>
      </c>
      <c r="AS56" s="106">
        <f t="shared" si="16"/>
        <v>12585.399999999998</v>
      </c>
      <c r="AT56" s="106">
        <f t="shared" si="16"/>
        <v>12573.400000000001</v>
      </c>
    </row>
    <row r="57" spans="2:46" ht="19.5" customHeight="1" x14ac:dyDescent="0.2">
      <c r="B57" s="230" t="s">
        <v>61</v>
      </c>
      <c r="C57" s="304"/>
      <c r="D57" s="240">
        <v>6</v>
      </c>
      <c r="E57" s="221">
        <v>265</v>
      </c>
      <c r="F57" s="226">
        <v>90975</v>
      </c>
      <c r="G57" s="226">
        <v>90590</v>
      </c>
      <c r="H57" s="267">
        <f t="shared" si="8"/>
        <v>385</v>
      </c>
      <c r="I57" s="267">
        <f t="shared" si="9"/>
        <v>90205</v>
      </c>
      <c r="J57" s="73"/>
      <c r="AK57" s="125"/>
      <c r="AL57" s="125"/>
      <c r="AM57" s="125"/>
      <c r="AN57" s="125"/>
      <c r="AO57" s="125"/>
    </row>
    <row r="58" spans="2:46" ht="18.75" customHeight="1" x14ac:dyDescent="0.2">
      <c r="B58" s="229" t="s">
        <v>57</v>
      </c>
      <c r="C58" s="304">
        <v>43374</v>
      </c>
      <c r="D58" s="239">
        <v>7</v>
      </c>
      <c r="E58" s="198">
        <v>242.92</v>
      </c>
      <c r="F58" s="198" t="s">
        <v>113</v>
      </c>
      <c r="G58" s="221" t="s">
        <v>112</v>
      </c>
      <c r="H58" s="226">
        <v>607</v>
      </c>
      <c r="I58" s="221">
        <f t="shared" ref="I58" si="17">+H58/D58</f>
        <v>86.714285714285708</v>
      </c>
      <c r="N58" s="96"/>
      <c r="Q58" s="96"/>
      <c r="AK58" s="125"/>
      <c r="AL58" s="126"/>
      <c r="AM58" s="125"/>
      <c r="AN58" s="125"/>
      <c r="AO58" s="125"/>
      <c r="AR58" s="96"/>
    </row>
    <row r="59" spans="2:46" ht="17.25" customHeight="1" x14ac:dyDescent="0.2">
      <c r="B59" s="230" t="s">
        <v>58</v>
      </c>
      <c r="C59" s="304"/>
      <c r="D59" s="239">
        <v>4</v>
      </c>
      <c r="E59" s="196">
        <f>0.25*498</f>
        <v>124.5</v>
      </c>
      <c r="F59" s="196">
        <f>0.25*177530</f>
        <v>44382.5</v>
      </c>
      <c r="G59" s="196">
        <f>0.25*176758</f>
        <v>44189.5</v>
      </c>
      <c r="H59" s="267">
        <f t="shared" si="8"/>
        <v>193</v>
      </c>
      <c r="I59" s="267">
        <f t="shared" si="9"/>
        <v>43996.5</v>
      </c>
      <c r="J59" s="73" t="s">
        <v>109</v>
      </c>
      <c r="AI59" s="125"/>
      <c r="AJ59" s="125"/>
      <c r="AK59" s="125"/>
      <c r="AL59" s="125"/>
      <c r="AM59" s="125"/>
      <c r="AN59" s="125"/>
      <c r="AO59" s="125"/>
    </row>
    <row r="60" spans="2:46" ht="18.75" customHeight="1" x14ac:dyDescent="0.2">
      <c r="B60" s="230" t="s">
        <v>59</v>
      </c>
      <c r="C60" s="304"/>
      <c r="D60" s="235">
        <v>4</v>
      </c>
      <c r="E60" s="221">
        <v>204</v>
      </c>
      <c r="F60" s="226">
        <v>50261</v>
      </c>
      <c r="G60" s="226">
        <v>49957</v>
      </c>
      <c r="H60" s="267">
        <f t="shared" ref="H60" si="18">F60-G60</f>
        <v>304</v>
      </c>
      <c r="I60" s="267">
        <f t="shared" ref="I60" si="19">G60-H60</f>
        <v>49653</v>
      </c>
      <c r="J60" s="73"/>
      <c r="K60" s="95"/>
    </row>
    <row r="61" spans="2:46" ht="17.25" customHeight="1" x14ac:dyDescent="0.2">
      <c r="B61" s="230" t="s">
        <v>60</v>
      </c>
      <c r="C61" s="304"/>
      <c r="D61" s="240">
        <v>5</v>
      </c>
      <c r="E61" s="221">
        <v>313.5</v>
      </c>
      <c r="F61" s="226">
        <v>54321</v>
      </c>
      <c r="G61" s="226">
        <v>53840</v>
      </c>
      <c r="H61" s="267">
        <f t="shared" si="8"/>
        <v>481</v>
      </c>
      <c r="I61" s="267">
        <f t="shared" si="9"/>
        <v>53359</v>
      </c>
    </row>
    <row r="62" spans="2:46" ht="18" customHeight="1" x14ac:dyDescent="0.2">
      <c r="B62" s="230" t="s">
        <v>61</v>
      </c>
      <c r="C62" s="304"/>
      <c r="D62" s="235">
        <v>6</v>
      </c>
      <c r="E62" s="72">
        <v>6</v>
      </c>
      <c r="F62" s="196">
        <v>275</v>
      </c>
      <c r="G62" s="197">
        <v>89047</v>
      </c>
      <c r="H62" s="197">
        <v>88640</v>
      </c>
      <c r="I62" s="197">
        <f>G62-H62</f>
        <v>407</v>
      </c>
      <c r="J62" s="73"/>
    </row>
    <row r="63" spans="2:46" ht="19.5" customHeight="1" x14ac:dyDescent="0.2">
      <c r="B63" s="229" t="s">
        <v>57</v>
      </c>
      <c r="C63" s="304">
        <v>43405</v>
      </c>
      <c r="D63" s="239">
        <v>7</v>
      </c>
      <c r="E63" s="196">
        <v>479.5</v>
      </c>
      <c r="F63" s="197">
        <v>64979</v>
      </c>
      <c r="G63" s="197">
        <v>63074</v>
      </c>
      <c r="H63" s="197">
        <v>1905</v>
      </c>
      <c r="I63" s="226">
        <f t="shared" ref="I63" si="20">+H63/D63</f>
        <v>272.14285714285717</v>
      </c>
    </row>
    <row r="64" spans="2:46" ht="18.75" customHeight="1" x14ac:dyDescent="0.2">
      <c r="B64" s="230" t="s">
        <v>58</v>
      </c>
      <c r="C64" s="304"/>
      <c r="D64" s="239">
        <v>4</v>
      </c>
      <c r="E64" s="241">
        <v>139.37</v>
      </c>
      <c r="F64" s="241">
        <v>172777</v>
      </c>
      <c r="G64" s="241">
        <v>171821</v>
      </c>
      <c r="H64" s="241">
        <v>856</v>
      </c>
      <c r="I64" s="226">
        <f>+H64/D64</f>
        <v>214</v>
      </c>
      <c r="J64" s="73" t="s">
        <v>100</v>
      </c>
    </row>
    <row r="65" spans="2:12" ht="18.75" customHeight="1" x14ac:dyDescent="0.2">
      <c r="B65" s="230" t="s">
        <v>59</v>
      </c>
      <c r="C65" s="304"/>
      <c r="D65" s="235">
        <v>4</v>
      </c>
      <c r="E65" s="196">
        <v>196</v>
      </c>
      <c r="F65" s="197">
        <v>50882</v>
      </c>
      <c r="G65" s="197">
        <v>50582</v>
      </c>
      <c r="H65" s="267">
        <f t="shared" si="8"/>
        <v>300</v>
      </c>
      <c r="I65" s="267">
        <f t="shared" si="9"/>
        <v>50282</v>
      </c>
      <c r="J65" s="73"/>
      <c r="K65" s="75"/>
    </row>
    <row r="66" spans="2:12" ht="17.25" customHeight="1" x14ac:dyDescent="0.2">
      <c r="B66" s="230" t="s">
        <v>60</v>
      </c>
      <c r="C66" s="304"/>
      <c r="D66" s="240">
        <v>5</v>
      </c>
      <c r="E66" s="236">
        <v>354</v>
      </c>
      <c r="F66" s="197">
        <v>54853</v>
      </c>
      <c r="G66" s="197">
        <v>54321</v>
      </c>
      <c r="H66" s="267">
        <f t="shared" si="8"/>
        <v>532</v>
      </c>
      <c r="I66" s="267">
        <f t="shared" si="9"/>
        <v>53789</v>
      </c>
    </row>
    <row r="67" spans="2:12" ht="18" customHeight="1" x14ac:dyDescent="0.2">
      <c r="B67" s="230" t="s">
        <v>61</v>
      </c>
      <c r="C67" s="304"/>
      <c r="D67" s="235">
        <v>6</v>
      </c>
      <c r="E67" s="221">
        <v>254.5</v>
      </c>
      <c r="F67" s="226">
        <v>90164</v>
      </c>
      <c r="G67" s="226">
        <v>89781</v>
      </c>
      <c r="H67" s="267">
        <f t="shared" ref="H67" si="21">F67-G67</f>
        <v>383</v>
      </c>
      <c r="I67" s="267">
        <f t="shared" ref="I67" si="22">G67-H67</f>
        <v>89398</v>
      </c>
      <c r="J67" s="73"/>
    </row>
    <row r="68" spans="2:12" ht="16.5" customHeight="1" x14ac:dyDescent="0.2">
      <c r="B68" s="229" t="s">
        <v>57</v>
      </c>
      <c r="C68" s="304">
        <v>43435</v>
      </c>
      <c r="D68" s="239">
        <v>7</v>
      </c>
      <c r="E68" s="438" t="s">
        <v>122</v>
      </c>
      <c r="F68" s="439"/>
      <c r="G68" s="439"/>
      <c r="H68" s="439"/>
      <c r="I68" s="440"/>
    </row>
    <row r="69" spans="2:12" ht="18.75" customHeight="1" x14ac:dyDescent="0.2">
      <c r="B69" s="230" t="s">
        <v>58</v>
      </c>
      <c r="C69" s="304"/>
      <c r="D69" s="239">
        <v>4</v>
      </c>
      <c r="E69" s="196">
        <f>0.254*506.1</f>
        <v>128.54940000000002</v>
      </c>
      <c r="F69" s="196">
        <f>0.25*169387</f>
        <v>42346.75</v>
      </c>
      <c r="G69" s="196">
        <f>0.25*168566</f>
        <v>42141.5</v>
      </c>
      <c r="H69" s="267">
        <f t="shared" si="8"/>
        <v>205.25</v>
      </c>
      <c r="I69" s="267">
        <f t="shared" si="9"/>
        <v>41936.25</v>
      </c>
      <c r="J69" s="73" t="s">
        <v>100</v>
      </c>
    </row>
    <row r="70" spans="2:12" ht="18" customHeight="1" x14ac:dyDescent="0.2">
      <c r="B70" s="230" t="s">
        <v>59</v>
      </c>
      <c r="C70" s="304"/>
      <c r="D70" s="235">
        <v>4</v>
      </c>
      <c r="E70" s="196">
        <v>209</v>
      </c>
      <c r="F70" s="197">
        <v>51196</v>
      </c>
      <c r="G70" s="197">
        <v>50882</v>
      </c>
      <c r="H70" s="267">
        <f t="shared" si="8"/>
        <v>314</v>
      </c>
      <c r="I70" s="267">
        <f t="shared" si="9"/>
        <v>50568</v>
      </c>
      <c r="J70" s="73"/>
      <c r="K70" s="75"/>
      <c r="L70" s="94"/>
    </row>
    <row r="71" spans="2:12" ht="17.25" customHeight="1" x14ac:dyDescent="0.25">
      <c r="B71" s="230" t="s">
        <v>60</v>
      </c>
      <c r="C71" s="304"/>
      <c r="D71" s="240">
        <v>5</v>
      </c>
      <c r="E71" s="236">
        <v>282.5</v>
      </c>
      <c r="F71" s="197">
        <v>55305</v>
      </c>
      <c r="G71" s="197">
        <v>54853</v>
      </c>
      <c r="H71" s="267">
        <f t="shared" si="8"/>
        <v>452</v>
      </c>
      <c r="I71" s="267">
        <f t="shared" si="9"/>
        <v>54401</v>
      </c>
      <c r="L71" s="41"/>
    </row>
    <row r="72" spans="2:12" ht="18" customHeight="1" x14ac:dyDescent="0.25">
      <c r="B72" s="230" t="s">
        <v>68</v>
      </c>
      <c r="C72" s="304"/>
      <c r="D72" s="235">
        <v>6</v>
      </c>
      <c r="E72" s="236">
        <v>355</v>
      </c>
      <c r="F72" s="197">
        <v>92380</v>
      </c>
      <c r="G72" s="197">
        <v>91233</v>
      </c>
      <c r="H72" s="267">
        <f t="shared" si="8"/>
        <v>1147</v>
      </c>
      <c r="I72" s="267">
        <f t="shared" si="9"/>
        <v>90086</v>
      </c>
      <c r="J72" s="73"/>
      <c r="L72" s="42"/>
    </row>
    <row r="73" spans="2:12" ht="18" customHeight="1" x14ac:dyDescent="0.2">
      <c r="B73" s="312" t="s">
        <v>104</v>
      </c>
      <c r="C73" s="312"/>
      <c r="D73" s="312"/>
      <c r="E73" s="312"/>
      <c r="F73" s="312"/>
      <c r="G73" s="312"/>
      <c r="H73" s="312"/>
      <c r="I73" s="312"/>
      <c r="L73" s="82"/>
    </row>
    <row r="74" spans="2:12" ht="17.25" customHeight="1" x14ac:dyDescent="0.2">
      <c r="B74" s="308" t="s">
        <v>69</v>
      </c>
      <c r="C74" s="308"/>
      <c r="D74" s="308"/>
      <c r="E74" s="308"/>
      <c r="F74" s="308"/>
      <c r="G74" s="308"/>
      <c r="L74" s="82"/>
    </row>
    <row r="75" spans="2:12" ht="19.5" customHeight="1" x14ac:dyDescent="0.2">
      <c r="K75" s="75"/>
      <c r="L75" s="75"/>
    </row>
    <row r="76" spans="2:12" ht="17.25" customHeight="1" x14ac:dyDescent="0.2"/>
    <row r="77" spans="2:12" ht="18" customHeight="1" x14ac:dyDescent="0.2"/>
    <row r="78" spans="2:12" ht="17.25" customHeight="1" x14ac:dyDescent="0.2"/>
    <row r="79" spans="2:12" ht="13.5" customHeight="1" x14ac:dyDescent="0.2"/>
    <row r="80" spans="2:12" ht="13.5" customHeight="1" x14ac:dyDescent="0.2"/>
    <row r="81" ht="13.5" customHeight="1" x14ac:dyDescent="0.2"/>
    <row r="82" ht="13.5" customHeight="1" x14ac:dyDescent="0.2"/>
    <row r="84" ht="15" customHeight="1" x14ac:dyDescent="0.2"/>
    <row r="85" ht="14.25" customHeight="1" x14ac:dyDescent="0.2"/>
    <row r="86" ht="18" customHeight="1" x14ac:dyDescent="0.2"/>
    <row r="87" ht="19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20.25" customHeight="1" x14ac:dyDescent="0.2"/>
    <row r="94" ht="69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</sheetData>
  <mergeCells count="54">
    <mergeCell ref="C13:C17"/>
    <mergeCell ref="B2:I2"/>
    <mergeCell ref="B3:F3"/>
    <mergeCell ref="B4:F4"/>
    <mergeCell ref="B5:F5"/>
    <mergeCell ref="B6:F6"/>
    <mergeCell ref="B7:F7"/>
    <mergeCell ref="B9:B12"/>
    <mergeCell ref="C9:C12"/>
    <mergeCell ref="D9:D12"/>
    <mergeCell ref="E9:E12"/>
    <mergeCell ref="F11:F12"/>
    <mergeCell ref="G11:G12"/>
    <mergeCell ref="F9:H10"/>
    <mergeCell ref="H11:H12"/>
    <mergeCell ref="O11:O12"/>
    <mergeCell ref="L7:R7"/>
    <mergeCell ref="L8:R8"/>
    <mergeCell ref="I9:I12"/>
    <mergeCell ref="L9:L12"/>
    <mergeCell ref="M9:M12"/>
    <mergeCell ref="N9:N12"/>
    <mergeCell ref="O9:Q10"/>
    <mergeCell ref="R9:R12"/>
    <mergeCell ref="P11:P12"/>
    <mergeCell ref="Q11:Q12"/>
    <mergeCell ref="C18:C22"/>
    <mergeCell ref="C23:C27"/>
    <mergeCell ref="C28:C32"/>
    <mergeCell ref="AI28:AL28"/>
    <mergeCell ref="L29:R29"/>
    <mergeCell ref="L30:R30"/>
    <mergeCell ref="B74:G74"/>
    <mergeCell ref="O38:O40"/>
    <mergeCell ref="P38:P40"/>
    <mergeCell ref="Q38:Q40"/>
    <mergeCell ref="C43:C47"/>
    <mergeCell ref="C48:C52"/>
    <mergeCell ref="C53:C57"/>
    <mergeCell ref="C58:C62"/>
    <mergeCell ref="C63:C67"/>
    <mergeCell ref="C68:C72"/>
    <mergeCell ref="B73:I73"/>
    <mergeCell ref="L36:L40"/>
    <mergeCell ref="M36:M40"/>
    <mergeCell ref="E68:I68"/>
    <mergeCell ref="R36:R40"/>
    <mergeCell ref="N36:N40"/>
    <mergeCell ref="O36:Q37"/>
    <mergeCell ref="C38:C42"/>
    <mergeCell ref="U28:Y28"/>
    <mergeCell ref="C33:C37"/>
    <mergeCell ref="F43:I43"/>
    <mergeCell ref="F48:I48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76"/>
  <sheetViews>
    <sheetView topLeftCell="A34" zoomScale="80" zoomScaleNormal="80" workbookViewId="0">
      <selection activeCell="H14" sqref="H14"/>
    </sheetView>
  </sheetViews>
  <sheetFormatPr baseColWidth="10" defaultRowHeight="15" x14ac:dyDescent="0.25"/>
  <cols>
    <col min="7" max="7" width="20.7109375" customWidth="1"/>
    <col min="15" max="15" width="16" customWidth="1"/>
  </cols>
  <sheetData>
    <row r="3" spans="1:16" ht="15.75" thickBot="1" x14ac:dyDescent="0.3">
      <c r="A3" s="58"/>
      <c r="B3" s="58"/>
      <c r="C3" s="58"/>
      <c r="D3" s="250"/>
      <c r="E3" s="250"/>
      <c r="F3" s="250"/>
      <c r="G3" s="250"/>
      <c r="H3" s="58"/>
      <c r="I3" s="58"/>
      <c r="J3" s="58"/>
      <c r="K3" s="58"/>
      <c r="L3" s="58"/>
      <c r="M3" s="58"/>
      <c r="N3" s="58"/>
      <c r="O3" s="58"/>
      <c r="P3" s="58"/>
    </row>
    <row r="4" spans="1:16" ht="15.75" thickBot="1" x14ac:dyDescent="0.3">
      <c r="A4" s="58"/>
      <c r="B4" s="347" t="s">
        <v>111</v>
      </c>
      <c r="C4" s="348"/>
      <c r="D4" s="348"/>
      <c r="E4" s="348"/>
      <c r="F4" s="348"/>
      <c r="G4" s="349"/>
      <c r="H4" s="58"/>
      <c r="I4" s="58"/>
      <c r="J4" s="58"/>
      <c r="K4" s="58"/>
      <c r="L4" s="58"/>
      <c r="M4" s="58"/>
      <c r="N4" s="58"/>
      <c r="O4" s="58"/>
      <c r="P4" s="58"/>
    </row>
    <row r="5" spans="1:16" x14ac:dyDescent="0.25">
      <c r="A5" s="58"/>
      <c r="B5" s="58"/>
      <c r="C5" s="58"/>
      <c r="D5" s="250"/>
      <c r="E5" s="250"/>
      <c r="F5" s="250"/>
      <c r="G5" s="250"/>
      <c r="H5" s="58"/>
      <c r="I5" s="58"/>
      <c r="J5" s="58"/>
      <c r="K5" s="58"/>
      <c r="L5" s="58"/>
      <c r="M5" s="58"/>
      <c r="N5" s="58"/>
      <c r="O5" s="58"/>
      <c r="P5" s="58"/>
    </row>
    <row r="6" spans="1:16" x14ac:dyDescent="0.25">
      <c r="A6" s="58"/>
      <c r="B6" s="337" t="s">
        <v>75</v>
      </c>
      <c r="C6" s="337"/>
      <c r="D6" s="337"/>
      <c r="E6" s="337"/>
      <c r="F6" s="337"/>
      <c r="G6" s="250"/>
      <c r="H6" s="58"/>
      <c r="I6" s="58"/>
      <c r="J6" s="58"/>
      <c r="K6" s="58"/>
      <c r="L6" s="58"/>
      <c r="M6" s="58"/>
      <c r="N6" s="58"/>
      <c r="O6" s="58"/>
      <c r="P6" s="58"/>
    </row>
    <row r="7" spans="1:16" ht="15.75" thickBot="1" x14ac:dyDescent="0.3">
      <c r="A7" s="58"/>
      <c r="B7" s="337" t="s">
        <v>76</v>
      </c>
      <c r="C7" s="337"/>
      <c r="D7" s="337"/>
      <c r="E7" s="337"/>
      <c r="F7" s="337"/>
      <c r="G7" s="250"/>
      <c r="H7" s="58"/>
      <c r="I7" s="58"/>
      <c r="J7" s="58"/>
      <c r="K7" s="58"/>
      <c r="L7" s="58"/>
      <c r="M7" s="58"/>
      <c r="N7" s="58"/>
      <c r="O7" s="58"/>
      <c r="P7" s="58"/>
    </row>
    <row r="8" spans="1:16" ht="15.75" thickBot="1" x14ac:dyDescent="0.3">
      <c r="A8" s="58"/>
      <c r="B8" s="337" t="s">
        <v>77</v>
      </c>
      <c r="C8" s="337"/>
      <c r="D8" s="337"/>
      <c r="E8" s="337"/>
      <c r="F8" s="337"/>
      <c r="G8" s="250"/>
      <c r="H8" s="58"/>
      <c r="I8" s="58"/>
      <c r="J8" s="58"/>
      <c r="K8" s="347" t="s">
        <v>111</v>
      </c>
      <c r="L8" s="348"/>
      <c r="M8" s="348"/>
      <c r="N8" s="348"/>
      <c r="O8" s="349"/>
      <c r="P8" s="58"/>
    </row>
    <row r="9" spans="1:16" x14ac:dyDescent="0.25">
      <c r="A9" s="58"/>
      <c r="B9" s="337" t="s">
        <v>78</v>
      </c>
      <c r="C9" s="337"/>
      <c r="D9" s="337"/>
      <c r="E9" s="337"/>
      <c r="F9" s="337"/>
      <c r="G9" s="250"/>
      <c r="H9" s="58"/>
      <c r="I9" s="58"/>
      <c r="J9" s="58"/>
      <c r="K9" s="346" t="s">
        <v>79</v>
      </c>
      <c r="L9" s="346"/>
      <c r="M9" s="346"/>
      <c r="N9" s="346"/>
      <c r="O9" s="346"/>
      <c r="P9" s="58"/>
    </row>
    <row r="10" spans="1:16" x14ac:dyDescent="0.25">
      <c r="A10" s="58"/>
      <c r="B10" s="337" t="s">
        <v>80</v>
      </c>
      <c r="C10" s="337"/>
      <c r="D10" s="337"/>
      <c r="E10" s="337"/>
      <c r="F10" s="337"/>
      <c r="G10" s="250"/>
      <c r="H10" s="58"/>
      <c r="I10" s="58"/>
      <c r="J10" s="58"/>
      <c r="K10" s="57"/>
      <c r="L10" s="57"/>
      <c r="M10" s="57"/>
      <c r="N10" s="57"/>
      <c r="O10" s="250"/>
      <c r="P10" s="58"/>
    </row>
    <row r="11" spans="1:16" x14ac:dyDescent="0.25">
      <c r="A11" s="345"/>
      <c r="B11" s="338" t="s">
        <v>49</v>
      </c>
      <c r="C11" s="339" t="s">
        <v>1</v>
      </c>
      <c r="D11" s="339" t="s">
        <v>0</v>
      </c>
      <c r="E11" s="339" t="s">
        <v>32</v>
      </c>
      <c r="F11" s="339" t="s">
        <v>33</v>
      </c>
      <c r="G11" s="339" t="s">
        <v>34</v>
      </c>
      <c r="H11" s="345"/>
      <c r="I11" s="350"/>
      <c r="J11" s="345"/>
      <c r="K11" s="339" t="s">
        <v>1</v>
      </c>
      <c r="L11" s="339" t="s">
        <v>0</v>
      </c>
      <c r="M11" s="339" t="s">
        <v>32</v>
      </c>
      <c r="N11" s="339" t="s">
        <v>33</v>
      </c>
      <c r="O11" s="339" t="s">
        <v>34</v>
      </c>
      <c r="P11" s="58"/>
    </row>
    <row r="12" spans="1:16" ht="55.5" customHeight="1" x14ac:dyDescent="0.25">
      <c r="A12" s="345"/>
      <c r="B12" s="338"/>
      <c r="C12" s="339"/>
      <c r="D12" s="339"/>
      <c r="E12" s="339"/>
      <c r="F12" s="339"/>
      <c r="G12" s="339"/>
      <c r="H12" s="345"/>
      <c r="I12" s="350"/>
      <c r="J12" s="345"/>
      <c r="K12" s="339"/>
      <c r="L12" s="339"/>
      <c r="M12" s="339"/>
      <c r="N12" s="339"/>
      <c r="O12" s="339"/>
      <c r="P12" s="58"/>
    </row>
    <row r="13" spans="1:16" x14ac:dyDescent="0.25">
      <c r="A13" s="58"/>
      <c r="B13" s="228" t="s">
        <v>57</v>
      </c>
      <c r="C13" s="304">
        <v>43101</v>
      </c>
      <c r="D13" s="195">
        <v>7</v>
      </c>
      <c r="E13" s="195">
        <v>5</v>
      </c>
      <c r="F13" s="108">
        <v>50.82</v>
      </c>
      <c r="G13" s="213">
        <f>E13/D13</f>
        <v>0.7142857142857143</v>
      </c>
      <c r="H13" s="58"/>
      <c r="I13" s="58"/>
      <c r="J13" s="58"/>
      <c r="K13" s="256">
        <v>43101</v>
      </c>
      <c r="L13" s="3">
        <v>226</v>
      </c>
      <c r="M13" s="3">
        <v>256</v>
      </c>
      <c r="N13" s="272">
        <v>2860.72</v>
      </c>
      <c r="O13" s="260">
        <f>+M13/L13</f>
        <v>1.1327433628318584</v>
      </c>
      <c r="P13" s="58"/>
    </row>
    <row r="14" spans="1:16" x14ac:dyDescent="0.25">
      <c r="A14" s="58"/>
      <c r="B14" s="212" t="s">
        <v>58</v>
      </c>
      <c r="C14" s="304"/>
      <c r="D14" s="195">
        <v>4</v>
      </c>
      <c r="E14" s="195">
        <v>2.5</v>
      </c>
      <c r="F14" s="68">
        <v>28.52</v>
      </c>
      <c r="G14" s="213">
        <f>E14/D14</f>
        <v>0.625</v>
      </c>
      <c r="H14" s="192"/>
      <c r="I14" s="75"/>
      <c r="J14" s="75"/>
      <c r="K14" s="256">
        <v>43132</v>
      </c>
      <c r="L14" s="3">
        <v>226</v>
      </c>
      <c r="M14" s="3">
        <v>255</v>
      </c>
      <c r="N14" s="107">
        <v>1509.7</v>
      </c>
      <c r="O14" s="260">
        <f>+M14/L14</f>
        <v>1.1283185840707965</v>
      </c>
      <c r="P14" s="58"/>
    </row>
    <row r="15" spans="1:16" x14ac:dyDescent="0.25">
      <c r="A15" s="58"/>
      <c r="B15" s="212" t="s">
        <v>59</v>
      </c>
      <c r="C15" s="304"/>
      <c r="D15" s="195">
        <v>3</v>
      </c>
      <c r="E15" s="195">
        <v>9</v>
      </c>
      <c r="F15" s="68">
        <v>58.53</v>
      </c>
      <c r="G15" s="213">
        <f>E15/D15</f>
        <v>3</v>
      </c>
      <c r="H15" s="58"/>
      <c r="I15" s="58"/>
      <c r="J15" s="58"/>
      <c r="K15" s="256">
        <v>43160</v>
      </c>
      <c r="L15" s="3">
        <v>226</v>
      </c>
      <c r="M15" s="72">
        <v>273</v>
      </c>
      <c r="N15" s="107">
        <v>1607.61</v>
      </c>
      <c r="O15" s="260">
        <f>+M15/L15</f>
        <v>1.2079646017699115</v>
      </c>
      <c r="P15" s="58"/>
    </row>
    <row r="16" spans="1:16" x14ac:dyDescent="0.25">
      <c r="A16" s="58"/>
      <c r="B16" s="212" t="s">
        <v>60</v>
      </c>
      <c r="C16" s="304"/>
      <c r="D16" s="195">
        <v>5</v>
      </c>
      <c r="E16" s="195">
        <v>6</v>
      </c>
      <c r="F16" s="213">
        <v>55.7</v>
      </c>
      <c r="G16" s="213">
        <f>+E16/D16</f>
        <v>1.2</v>
      </c>
      <c r="H16" s="58"/>
      <c r="I16" s="58"/>
      <c r="J16" s="58"/>
      <c r="K16" s="256">
        <v>43191</v>
      </c>
      <c r="L16" s="3">
        <v>226</v>
      </c>
      <c r="M16" s="72">
        <v>233</v>
      </c>
      <c r="N16" s="212">
        <v>1367.18</v>
      </c>
      <c r="O16" s="260">
        <f>+M16/L16</f>
        <v>1.0309734513274336</v>
      </c>
      <c r="P16" s="58"/>
    </row>
    <row r="17" spans="1:16" x14ac:dyDescent="0.25">
      <c r="A17" s="58"/>
      <c r="B17" s="212" t="s">
        <v>61</v>
      </c>
      <c r="C17" s="304"/>
      <c r="D17" s="195">
        <v>6</v>
      </c>
      <c r="E17" s="195">
        <v>34</v>
      </c>
      <c r="F17" s="213">
        <v>23.905000000000001</v>
      </c>
      <c r="G17" s="213">
        <f>+E17/D17</f>
        <v>5.666666666666667</v>
      </c>
      <c r="H17" s="73"/>
      <c r="I17" s="58"/>
      <c r="J17" s="58"/>
      <c r="K17" s="256">
        <v>43221</v>
      </c>
      <c r="L17" s="2">
        <v>226</v>
      </c>
      <c r="M17" s="2">
        <v>212</v>
      </c>
      <c r="N17" s="61">
        <v>1258.8399999999999</v>
      </c>
      <c r="O17" s="260">
        <f t="shared" ref="O17:O19" si="0">+M17/L17</f>
        <v>0.93805309734513276</v>
      </c>
      <c r="P17" s="58"/>
    </row>
    <row r="18" spans="1:16" x14ac:dyDescent="0.25">
      <c r="A18" s="58"/>
      <c r="B18" s="228" t="s">
        <v>57</v>
      </c>
      <c r="C18" s="304">
        <v>43132</v>
      </c>
      <c r="D18" s="195">
        <v>7</v>
      </c>
      <c r="E18" s="195">
        <v>8</v>
      </c>
      <c r="F18" s="68">
        <v>77.73</v>
      </c>
      <c r="G18" s="68">
        <f t="shared" ref="G18:G56" si="1">+E18/D18</f>
        <v>1.1428571428571428</v>
      </c>
      <c r="H18" s="58"/>
      <c r="I18" s="58"/>
      <c r="J18" s="58"/>
      <c r="K18" s="256">
        <v>43252</v>
      </c>
      <c r="L18" s="3">
        <v>226</v>
      </c>
      <c r="M18" s="3">
        <v>284</v>
      </c>
      <c r="N18" s="107">
        <v>1671.11</v>
      </c>
      <c r="O18" s="260">
        <f t="shared" si="0"/>
        <v>1.2566371681415929</v>
      </c>
      <c r="P18" s="58"/>
    </row>
    <row r="19" spans="1:16" x14ac:dyDescent="0.25">
      <c r="A19" s="58"/>
      <c r="B19" s="212" t="s">
        <v>58</v>
      </c>
      <c r="C19" s="304"/>
      <c r="D19" s="195">
        <v>4</v>
      </c>
      <c r="E19" s="195">
        <v>2.5</v>
      </c>
      <c r="F19" s="108">
        <v>24.24</v>
      </c>
      <c r="G19" s="213">
        <f t="shared" si="1"/>
        <v>0.625</v>
      </c>
      <c r="H19" s="192"/>
      <c r="I19" s="58"/>
      <c r="J19" s="75"/>
      <c r="K19" s="256">
        <v>43282</v>
      </c>
      <c r="L19" s="4">
        <v>226</v>
      </c>
      <c r="M19" s="52">
        <v>298</v>
      </c>
      <c r="N19" s="107">
        <v>1748.14</v>
      </c>
      <c r="O19" s="260">
        <f t="shared" si="0"/>
        <v>1.3185840707964602</v>
      </c>
      <c r="P19" s="58"/>
    </row>
    <row r="20" spans="1:16" x14ac:dyDescent="0.25">
      <c r="A20" s="58"/>
      <c r="B20" s="212" t="s">
        <v>59</v>
      </c>
      <c r="C20" s="304"/>
      <c r="D20" s="195">
        <v>3</v>
      </c>
      <c r="E20" s="195">
        <v>11</v>
      </c>
      <c r="F20" s="108">
        <v>70.23</v>
      </c>
      <c r="G20" s="213">
        <f t="shared" si="1"/>
        <v>3.6666666666666665</v>
      </c>
      <c r="H20" s="58"/>
      <c r="I20" s="58"/>
      <c r="J20" s="58"/>
      <c r="K20" s="256">
        <v>43313</v>
      </c>
      <c r="L20" s="4">
        <v>226</v>
      </c>
      <c r="M20" s="52">
        <v>304</v>
      </c>
      <c r="N20" s="107">
        <v>1782.61</v>
      </c>
      <c r="O20" s="260">
        <f t="shared" ref="O20:O24" si="2">+M20/L20</f>
        <v>1.345132743362832</v>
      </c>
      <c r="P20" s="58"/>
    </row>
    <row r="21" spans="1:16" x14ac:dyDescent="0.25">
      <c r="A21" s="58"/>
      <c r="B21" s="212" t="s">
        <v>60</v>
      </c>
      <c r="C21" s="304"/>
      <c r="D21" s="195">
        <v>5</v>
      </c>
      <c r="E21" s="195">
        <v>5</v>
      </c>
      <c r="F21" s="213">
        <v>47.38</v>
      </c>
      <c r="G21" s="213">
        <f t="shared" si="1"/>
        <v>1</v>
      </c>
      <c r="H21" s="58"/>
      <c r="I21" s="58"/>
      <c r="J21" s="58"/>
      <c r="K21" s="256">
        <v>43344</v>
      </c>
      <c r="L21" s="2">
        <v>226</v>
      </c>
      <c r="M21" s="62">
        <v>237</v>
      </c>
      <c r="N21" s="107">
        <v>1390.54</v>
      </c>
      <c r="O21" s="260">
        <f t="shared" si="2"/>
        <v>1.0486725663716814</v>
      </c>
      <c r="P21" s="109"/>
    </row>
    <row r="22" spans="1:16" x14ac:dyDescent="0.25">
      <c r="A22" s="58"/>
      <c r="B22" s="212" t="s">
        <v>61</v>
      </c>
      <c r="C22" s="304"/>
      <c r="D22" s="195">
        <v>6</v>
      </c>
      <c r="E22" s="195">
        <v>16</v>
      </c>
      <c r="F22" s="213">
        <v>152.99</v>
      </c>
      <c r="G22" s="213">
        <f t="shared" si="1"/>
        <v>2.6666666666666665</v>
      </c>
      <c r="H22" s="73"/>
      <c r="I22" s="58"/>
      <c r="J22" s="58"/>
      <c r="K22" s="256">
        <v>43374</v>
      </c>
      <c r="L22" s="2">
        <v>226</v>
      </c>
      <c r="M22" s="62">
        <v>237</v>
      </c>
      <c r="N22" s="107">
        <v>1390.54</v>
      </c>
      <c r="O22" s="260">
        <f t="shared" si="2"/>
        <v>1.0486725663716814</v>
      </c>
      <c r="P22" s="109"/>
    </row>
    <row r="23" spans="1:16" x14ac:dyDescent="0.25">
      <c r="A23" s="58"/>
      <c r="B23" s="229" t="s">
        <v>57</v>
      </c>
      <c r="C23" s="304">
        <v>43160</v>
      </c>
      <c r="D23" s="195">
        <v>7</v>
      </c>
      <c r="E23" s="195">
        <v>22</v>
      </c>
      <c r="F23" s="213">
        <v>194.84</v>
      </c>
      <c r="G23" s="213">
        <f t="shared" si="1"/>
        <v>3.1428571428571428</v>
      </c>
      <c r="H23" s="58"/>
      <c r="I23" s="58"/>
      <c r="J23" s="58"/>
      <c r="K23" s="256">
        <v>43405</v>
      </c>
      <c r="L23" s="72">
        <v>226</v>
      </c>
      <c r="M23" s="72">
        <v>248</v>
      </c>
      <c r="N23" s="107">
        <v>1454.81</v>
      </c>
      <c r="O23" s="260">
        <f t="shared" si="2"/>
        <v>1.0973451327433628</v>
      </c>
      <c r="P23" s="109"/>
    </row>
    <row r="24" spans="1:16" x14ac:dyDescent="0.25">
      <c r="A24" s="58"/>
      <c r="B24" s="230" t="s">
        <v>58</v>
      </c>
      <c r="C24" s="304"/>
      <c r="D24" s="72">
        <v>6</v>
      </c>
      <c r="E24" s="72">
        <v>6</v>
      </c>
      <c r="F24" s="268">
        <v>56.16</v>
      </c>
      <c r="G24" s="260">
        <v>1</v>
      </c>
      <c r="H24" s="192"/>
      <c r="I24" s="58"/>
      <c r="J24" s="75"/>
      <c r="K24" s="256">
        <v>43435</v>
      </c>
      <c r="L24" s="4">
        <v>226</v>
      </c>
      <c r="M24" s="62">
        <v>221</v>
      </c>
      <c r="N24" s="107">
        <v>1297.07</v>
      </c>
      <c r="O24" s="260">
        <f t="shared" si="2"/>
        <v>0.97787610619469023</v>
      </c>
      <c r="P24" s="109"/>
    </row>
    <row r="25" spans="1:16" x14ac:dyDescent="0.25">
      <c r="A25" s="58"/>
      <c r="B25" s="230" t="s">
        <v>59</v>
      </c>
      <c r="C25" s="304"/>
      <c r="D25" s="195">
        <v>3</v>
      </c>
      <c r="E25" s="195">
        <v>3</v>
      </c>
      <c r="F25" s="213">
        <v>23.47</v>
      </c>
      <c r="G25" s="213">
        <f t="shared" si="1"/>
        <v>1</v>
      </c>
      <c r="H25" s="58"/>
      <c r="I25" s="58"/>
      <c r="J25" s="58"/>
      <c r="K25" s="269" t="s">
        <v>2</v>
      </c>
      <c r="L25" s="270">
        <f>AVERAGE(L13:L24)</f>
        <v>226</v>
      </c>
      <c r="M25" s="270">
        <f>AVERAGE(M13:M24)</f>
        <v>254.83333333333334</v>
      </c>
      <c r="N25" s="273">
        <f>AVERAGE(N13:N24)</f>
        <v>1611.5725000000002</v>
      </c>
      <c r="O25" s="271">
        <f>+M25/L25</f>
        <v>1.1275811209439528</v>
      </c>
      <c r="P25" s="109"/>
    </row>
    <row r="26" spans="1:16" x14ac:dyDescent="0.25">
      <c r="A26" s="58"/>
      <c r="B26" s="230" t="s">
        <v>60</v>
      </c>
      <c r="C26" s="304"/>
      <c r="D26" s="195">
        <v>5</v>
      </c>
      <c r="E26" s="195">
        <v>5</v>
      </c>
      <c r="F26" s="213">
        <v>48.88</v>
      </c>
      <c r="G26" s="213">
        <f t="shared" si="1"/>
        <v>1</v>
      </c>
      <c r="H26" s="58"/>
      <c r="I26" s="58"/>
      <c r="J26" s="58"/>
      <c r="K26" s="58"/>
      <c r="L26" s="58"/>
      <c r="M26" s="58"/>
      <c r="N26" s="58"/>
      <c r="O26" s="58"/>
      <c r="P26" s="109"/>
    </row>
    <row r="27" spans="1:16" x14ac:dyDescent="0.25">
      <c r="A27" s="58"/>
      <c r="B27" s="230" t="s">
        <v>61</v>
      </c>
      <c r="C27" s="304"/>
      <c r="D27" s="72">
        <v>6</v>
      </c>
      <c r="E27" s="72">
        <v>6</v>
      </c>
      <c r="F27" s="268">
        <v>56.16</v>
      </c>
      <c r="G27" s="260">
        <v>1</v>
      </c>
      <c r="H27" s="73"/>
      <c r="I27" s="58"/>
      <c r="J27" s="58"/>
      <c r="K27" s="193"/>
      <c r="L27" s="193"/>
      <c r="M27" s="110"/>
      <c r="N27" s="111"/>
      <c r="O27" s="112"/>
      <c r="P27" s="109"/>
    </row>
    <row r="28" spans="1:16" x14ac:dyDescent="0.25">
      <c r="A28" s="58"/>
      <c r="B28" s="229" t="s">
        <v>57</v>
      </c>
      <c r="C28" s="304">
        <v>43191</v>
      </c>
      <c r="D28" s="195">
        <v>7</v>
      </c>
      <c r="E28" s="195">
        <v>13</v>
      </c>
      <c r="F28" s="195">
        <v>295.54000000000002</v>
      </c>
      <c r="G28" s="213">
        <f t="shared" si="1"/>
        <v>1.8571428571428572</v>
      </c>
      <c r="H28" s="58"/>
      <c r="I28" s="58"/>
      <c r="J28" s="58"/>
      <c r="K28" s="251"/>
      <c r="L28" s="251"/>
      <c r="M28" s="113"/>
      <c r="N28" s="114"/>
      <c r="O28" s="112"/>
      <c r="P28" s="109"/>
    </row>
    <row r="29" spans="1:16" ht="15.75" thickBot="1" x14ac:dyDescent="0.3">
      <c r="A29" s="58"/>
      <c r="B29" s="230" t="s">
        <v>58</v>
      </c>
      <c r="C29" s="304"/>
      <c r="D29" s="72">
        <v>6</v>
      </c>
      <c r="E29" s="72">
        <v>5</v>
      </c>
      <c r="F29" s="260">
        <v>56.1</v>
      </c>
      <c r="G29" s="260">
        <v>0.83</v>
      </c>
      <c r="H29" s="260"/>
      <c r="I29" s="58"/>
      <c r="J29" s="75"/>
      <c r="K29" s="115"/>
      <c r="L29" s="115"/>
      <c r="M29" s="115"/>
      <c r="N29" s="116"/>
      <c r="O29" s="250"/>
      <c r="P29" s="109"/>
    </row>
    <row r="30" spans="1:16" ht="15.75" thickBot="1" x14ac:dyDescent="0.3">
      <c r="A30" s="58"/>
      <c r="B30" s="230" t="s">
        <v>59</v>
      </c>
      <c r="C30" s="304"/>
      <c r="D30" s="195">
        <v>3</v>
      </c>
      <c r="E30" s="195">
        <v>6</v>
      </c>
      <c r="F30" s="213">
        <v>41.32</v>
      </c>
      <c r="G30" s="213">
        <f t="shared" si="1"/>
        <v>2</v>
      </c>
      <c r="H30" s="58"/>
      <c r="I30" s="58"/>
      <c r="J30" s="58"/>
      <c r="K30" s="347" t="s">
        <v>111</v>
      </c>
      <c r="L30" s="348"/>
      <c r="M30" s="348"/>
      <c r="N30" s="348"/>
      <c r="O30" s="349"/>
      <c r="P30" s="109"/>
    </row>
    <row r="31" spans="1:16" x14ac:dyDescent="0.25">
      <c r="A31" s="58"/>
      <c r="B31" s="230" t="s">
        <v>60</v>
      </c>
      <c r="C31" s="304"/>
      <c r="D31" s="195">
        <v>5</v>
      </c>
      <c r="E31" s="195">
        <v>5</v>
      </c>
      <c r="F31" s="213">
        <v>48.88</v>
      </c>
      <c r="G31" s="213">
        <f t="shared" ref="G31" si="3">+E31/D31</f>
        <v>1</v>
      </c>
      <c r="H31" s="58"/>
      <c r="I31" s="58"/>
      <c r="J31" s="58"/>
      <c r="K31" s="346" t="s">
        <v>81</v>
      </c>
      <c r="L31" s="346"/>
      <c r="M31" s="346"/>
      <c r="N31" s="346"/>
      <c r="O31" s="346"/>
      <c r="P31" s="109"/>
    </row>
    <row r="32" spans="1:16" x14ac:dyDescent="0.25">
      <c r="A32" s="58"/>
      <c r="B32" s="230" t="s">
        <v>61</v>
      </c>
      <c r="C32" s="304"/>
      <c r="D32" s="72">
        <v>6</v>
      </c>
      <c r="E32" s="72">
        <v>6</v>
      </c>
      <c r="F32" s="268">
        <v>56.16</v>
      </c>
      <c r="G32" s="260">
        <v>1</v>
      </c>
      <c r="H32" s="73"/>
      <c r="I32" s="58"/>
      <c r="J32" s="58"/>
      <c r="K32" s="57"/>
      <c r="L32" s="57"/>
      <c r="M32" s="57"/>
      <c r="N32" s="57"/>
      <c r="O32" s="250"/>
      <c r="P32" s="109"/>
    </row>
    <row r="33" spans="1:16" x14ac:dyDescent="0.25">
      <c r="A33" s="58"/>
      <c r="B33" s="228" t="s">
        <v>57</v>
      </c>
      <c r="C33" s="304">
        <v>43221</v>
      </c>
      <c r="D33" s="195">
        <v>7</v>
      </c>
      <c r="E33" s="195">
        <v>2</v>
      </c>
      <c r="F33" s="68">
        <v>17.670000000000002</v>
      </c>
      <c r="G33" s="213">
        <f t="shared" si="1"/>
        <v>0.2857142857142857</v>
      </c>
      <c r="H33" s="58"/>
      <c r="I33" s="58"/>
      <c r="J33" s="58"/>
      <c r="K33" s="339" t="s">
        <v>1</v>
      </c>
      <c r="L33" s="339" t="s">
        <v>0</v>
      </c>
      <c r="M33" s="339" t="s">
        <v>32</v>
      </c>
      <c r="N33" s="339" t="s">
        <v>33</v>
      </c>
      <c r="O33" s="339" t="s">
        <v>34</v>
      </c>
      <c r="P33" s="58"/>
    </row>
    <row r="34" spans="1:16" x14ac:dyDescent="0.25">
      <c r="A34" s="58"/>
      <c r="B34" s="230" t="s">
        <v>58</v>
      </c>
      <c r="C34" s="304"/>
      <c r="D34" s="72">
        <v>6</v>
      </c>
      <c r="E34" s="72">
        <v>5</v>
      </c>
      <c r="F34" s="260">
        <v>56.1</v>
      </c>
      <c r="G34" s="260">
        <v>0.83</v>
      </c>
      <c r="H34" s="192"/>
      <c r="I34" s="58"/>
      <c r="J34" s="58"/>
      <c r="K34" s="339"/>
      <c r="L34" s="339"/>
      <c r="M34" s="339"/>
      <c r="N34" s="339"/>
      <c r="O34" s="339"/>
      <c r="P34" s="58"/>
    </row>
    <row r="35" spans="1:16" x14ac:dyDescent="0.25">
      <c r="A35" s="58"/>
      <c r="B35" s="212" t="s">
        <v>59</v>
      </c>
      <c r="C35" s="304"/>
      <c r="D35" s="195">
        <v>3</v>
      </c>
      <c r="E35" s="195">
        <v>7</v>
      </c>
      <c r="F35" s="213">
        <v>46.85</v>
      </c>
      <c r="G35" s="213">
        <f t="shared" si="1"/>
        <v>2.3333333333333335</v>
      </c>
      <c r="H35" s="58"/>
      <c r="I35" s="75"/>
      <c r="J35" s="58"/>
      <c r="K35" s="339"/>
      <c r="L35" s="339"/>
      <c r="M35" s="339"/>
      <c r="N35" s="339"/>
      <c r="O35" s="339"/>
      <c r="P35" s="58"/>
    </row>
    <row r="36" spans="1:16" x14ac:dyDescent="0.25">
      <c r="A36" s="58"/>
      <c r="B36" s="212" t="s">
        <v>60</v>
      </c>
      <c r="C36" s="304"/>
      <c r="D36" s="195">
        <v>5</v>
      </c>
      <c r="E36" s="195">
        <v>7</v>
      </c>
      <c r="F36" s="68">
        <v>68.760000000000005</v>
      </c>
      <c r="G36" s="213">
        <f t="shared" si="1"/>
        <v>1.4</v>
      </c>
      <c r="H36" s="73"/>
      <c r="I36" s="75"/>
      <c r="J36" s="75"/>
      <c r="K36" s="339"/>
      <c r="L36" s="339"/>
      <c r="M36" s="339"/>
      <c r="N36" s="339"/>
      <c r="O36" s="339"/>
      <c r="P36" s="58"/>
    </row>
    <row r="37" spans="1:16" x14ac:dyDescent="0.25">
      <c r="A37" s="58"/>
      <c r="B37" s="212" t="s">
        <v>61</v>
      </c>
      <c r="C37" s="304"/>
      <c r="D37" s="72">
        <v>6</v>
      </c>
      <c r="E37" s="72">
        <v>6</v>
      </c>
      <c r="F37" s="195">
        <v>56.16</v>
      </c>
      <c r="G37" s="260">
        <v>1</v>
      </c>
      <c r="H37" s="73"/>
      <c r="I37" s="58"/>
      <c r="J37" s="75"/>
      <c r="K37" s="339"/>
      <c r="L37" s="339"/>
      <c r="M37" s="339"/>
      <c r="N37" s="339"/>
      <c r="O37" s="339"/>
      <c r="P37" s="58"/>
    </row>
    <row r="38" spans="1:16" x14ac:dyDescent="0.25">
      <c r="A38" s="58"/>
      <c r="B38" s="228" t="s">
        <v>57</v>
      </c>
      <c r="C38" s="304">
        <v>43252</v>
      </c>
      <c r="D38" s="195">
        <v>7</v>
      </c>
      <c r="E38" s="72">
        <v>1</v>
      </c>
      <c r="F38" s="266">
        <v>12.38</v>
      </c>
      <c r="G38" s="213">
        <f t="shared" si="1"/>
        <v>0.14285714285714285</v>
      </c>
      <c r="H38" s="58"/>
      <c r="I38" s="58"/>
      <c r="J38" s="58"/>
      <c r="K38" s="256">
        <v>43101</v>
      </c>
      <c r="L38" s="258">
        <v>207</v>
      </c>
      <c r="M38" s="3">
        <v>268</v>
      </c>
      <c r="N38" s="107">
        <v>2241.9</v>
      </c>
      <c r="O38" s="244">
        <f>+M38/L38</f>
        <v>1.2946859903381642</v>
      </c>
      <c r="P38" s="58"/>
    </row>
    <row r="39" spans="1:16" x14ac:dyDescent="0.25">
      <c r="A39" s="58"/>
      <c r="B39" s="230" t="s">
        <v>82</v>
      </c>
      <c r="C39" s="304"/>
      <c r="D39" s="72">
        <v>6</v>
      </c>
      <c r="E39" s="72">
        <v>5</v>
      </c>
      <c r="F39" s="260">
        <v>56.1</v>
      </c>
      <c r="G39" s="260">
        <v>0.83</v>
      </c>
      <c r="H39" s="192"/>
      <c r="I39" s="73"/>
      <c r="J39" s="58"/>
      <c r="K39" s="256">
        <v>43132</v>
      </c>
      <c r="L39" s="259">
        <v>208</v>
      </c>
      <c r="M39" s="2">
        <v>228</v>
      </c>
      <c r="N39" s="61">
        <v>1911.64</v>
      </c>
      <c r="O39" s="244">
        <f t="shared" ref="O39:O44" si="4">+M39/L39</f>
        <v>1.0961538461538463</v>
      </c>
      <c r="P39" s="58"/>
    </row>
    <row r="40" spans="1:16" x14ac:dyDescent="0.25">
      <c r="A40" s="58"/>
      <c r="B40" s="230" t="s">
        <v>59</v>
      </c>
      <c r="C40" s="304"/>
      <c r="D40" s="195">
        <v>3</v>
      </c>
      <c r="E40" s="195">
        <v>9</v>
      </c>
      <c r="F40" s="213">
        <v>58.56</v>
      </c>
      <c r="G40" s="213">
        <f t="shared" si="1"/>
        <v>3</v>
      </c>
      <c r="H40" s="58"/>
      <c r="I40" s="58"/>
      <c r="J40" s="58"/>
      <c r="K40" s="256">
        <v>43160</v>
      </c>
      <c r="L40" s="259">
        <v>208</v>
      </c>
      <c r="M40" s="259">
        <v>220</v>
      </c>
      <c r="N40" s="259">
        <v>1820</v>
      </c>
      <c r="O40" s="244">
        <f t="shared" si="4"/>
        <v>1.0576923076923077</v>
      </c>
      <c r="P40" s="58"/>
    </row>
    <row r="41" spans="1:16" x14ac:dyDescent="0.25">
      <c r="A41" s="58"/>
      <c r="B41" s="230" t="s">
        <v>60</v>
      </c>
      <c r="C41" s="304"/>
      <c r="D41" s="195">
        <v>5</v>
      </c>
      <c r="E41" s="195">
        <v>7</v>
      </c>
      <c r="F41" s="68">
        <v>68.760000000000005</v>
      </c>
      <c r="G41" s="213">
        <f t="shared" si="1"/>
        <v>1.4</v>
      </c>
      <c r="H41" s="58"/>
      <c r="I41" s="58"/>
      <c r="J41" s="75"/>
      <c r="K41" s="256">
        <v>43191</v>
      </c>
      <c r="L41" s="259">
        <v>208</v>
      </c>
      <c r="M41" s="2">
        <v>321</v>
      </c>
      <c r="N41" s="61">
        <v>2572</v>
      </c>
      <c r="O41" s="244">
        <f t="shared" si="4"/>
        <v>1.5432692307692308</v>
      </c>
      <c r="P41" s="214"/>
    </row>
    <row r="42" spans="1:16" x14ac:dyDescent="0.25">
      <c r="A42" s="58"/>
      <c r="B42" s="230" t="s">
        <v>68</v>
      </c>
      <c r="C42" s="304"/>
      <c r="D42" s="72">
        <v>6</v>
      </c>
      <c r="E42" s="72">
        <v>6</v>
      </c>
      <c r="F42" s="195">
        <v>56.16</v>
      </c>
      <c r="G42" s="213">
        <f t="shared" si="1"/>
        <v>1</v>
      </c>
      <c r="H42" s="73"/>
      <c r="I42" s="58"/>
      <c r="J42" s="58"/>
      <c r="K42" s="256">
        <v>43221</v>
      </c>
      <c r="L42" s="258">
        <v>207</v>
      </c>
      <c r="M42" s="3">
        <v>268</v>
      </c>
      <c r="N42" s="107">
        <v>2241.9</v>
      </c>
      <c r="O42" s="244">
        <f>+M42/L42</f>
        <v>1.2946859903381642</v>
      </c>
      <c r="P42" s="214"/>
    </row>
    <row r="43" spans="1:16" x14ac:dyDescent="0.25">
      <c r="A43" s="58"/>
      <c r="B43" s="229" t="s">
        <v>57</v>
      </c>
      <c r="C43" s="304">
        <v>43282</v>
      </c>
      <c r="D43" s="195">
        <v>7</v>
      </c>
      <c r="E43" s="231">
        <v>1</v>
      </c>
      <c r="F43" s="227">
        <v>11.8</v>
      </c>
      <c r="G43" s="213">
        <f t="shared" si="1"/>
        <v>0.14285714285714285</v>
      </c>
      <c r="H43" s="73"/>
      <c r="I43" s="58"/>
      <c r="J43" s="75"/>
      <c r="K43" s="256">
        <v>43252</v>
      </c>
      <c r="L43" s="2">
        <v>208</v>
      </c>
      <c r="M43" s="2">
        <v>500</v>
      </c>
      <c r="N43" s="2">
        <v>4332</v>
      </c>
      <c r="O43" s="244">
        <f t="shared" si="4"/>
        <v>2.4038461538461537</v>
      </c>
      <c r="P43" s="214"/>
    </row>
    <row r="44" spans="1:16" x14ac:dyDescent="0.25">
      <c r="A44" s="58"/>
      <c r="B44" s="230" t="s">
        <v>58</v>
      </c>
      <c r="C44" s="304"/>
      <c r="D44" s="72">
        <v>6</v>
      </c>
      <c r="E44" s="72">
        <v>5</v>
      </c>
      <c r="F44" s="260">
        <v>56.1</v>
      </c>
      <c r="G44" s="260">
        <v>0.83</v>
      </c>
      <c r="H44" s="40"/>
      <c r="I44" s="58"/>
      <c r="J44" s="250"/>
      <c r="K44" s="256">
        <v>43282</v>
      </c>
      <c r="L44" s="3">
        <v>208</v>
      </c>
      <c r="M44" s="62">
        <v>482</v>
      </c>
      <c r="N44" s="19">
        <v>4324.04</v>
      </c>
      <c r="O44" s="244">
        <f t="shared" si="4"/>
        <v>2.3173076923076925</v>
      </c>
      <c r="P44" s="58"/>
    </row>
    <row r="45" spans="1:16" ht="14.25" customHeight="1" x14ac:dyDescent="0.25">
      <c r="A45" s="58"/>
      <c r="B45" s="230" t="s">
        <v>59</v>
      </c>
      <c r="C45" s="304"/>
      <c r="D45" s="195">
        <v>3</v>
      </c>
      <c r="E45" s="231">
        <v>7</v>
      </c>
      <c r="F45" s="227">
        <v>46.87</v>
      </c>
      <c r="G45" s="213">
        <f t="shared" si="1"/>
        <v>2.3333333333333335</v>
      </c>
      <c r="H45" s="58"/>
      <c r="I45" s="58"/>
      <c r="J45" s="58"/>
      <c r="K45" s="256">
        <v>43313</v>
      </c>
      <c r="L45" s="258">
        <v>207</v>
      </c>
      <c r="M45" s="3">
        <v>268</v>
      </c>
      <c r="N45" s="107">
        <v>2241.9</v>
      </c>
      <c r="O45" s="244">
        <f>+M45/L45</f>
        <v>1.2946859903381642</v>
      </c>
      <c r="P45" s="58"/>
    </row>
    <row r="46" spans="1:16" x14ac:dyDescent="0.25">
      <c r="A46" s="58"/>
      <c r="B46" s="230" t="s">
        <v>60</v>
      </c>
      <c r="C46" s="304"/>
      <c r="D46" s="195">
        <v>5</v>
      </c>
      <c r="E46" s="231">
        <v>7</v>
      </c>
      <c r="F46" s="200">
        <v>68.790000000000006</v>
      </c>
      <c r="G46" s="213">
        <f t="shared" si="1"/>
        <v>1.4</v>
      </c>
      <c r="H46" s="58"/>
      <c r="I46" s="75"/>
      <c r="J46" s="75"/>
      <c r="K46" s="256">
        <v>43344</v>
      </c>
      <c r="L46" s="4">
        <v>208</v>
      </c>
      <c r="M46" s="4">
        <v>244</v>
      </c>
      <c r="N46" s="4">
        <v>2339.34</v>
      </c>
      <c r="O46" s="244">
        <f t="shared" ref="O46" si="5">+M46/L46</f>
        <v>1.1730769230769231</v>
      </c>
      <c r="P46" s="58"/>
    </row>
    <row r="47" spans="1:16" x14ac:dyDescent="0.25">
      <c r="A47" s="58"/>
      <c r="B47" s="230" t="s">
        <v>61</v>
      </c>
      <c r="C47" s="304"/>
      <c r="D47" s="72">
        <v>6</v>
      </c>
      <c r="E47" s="72">
        <v>6</v>
      </c>
      <c r="F47" s="195">
        <v>56.16</v>
      </c>
      <c r="G47" s="213">
        <f t="shared" ref="G47" si="6">+E47/D47</f>
        <v>1</v>
      </c>
      <c r="H47" s="73"/>
      <c r="I47" s="58"/>
      <c r="J47" s="58"/>
      <c r="K47" s="256">
        <v>43374</v>
      </c>
      <c r="L47" s="258">
        <v>208</v>
      </c>
      <c r="M47" s="3">
        <v>268</v>
      </c>
      <c r="N47" s="107">
        <v>2241.9</v>
      </c>
      <c r="O47" s="244">
        <f>+M47/L47</f>
        <v>1.2884615384615385</v>
      </c>
      <c r="P47" s="58"/>
    </row>
    <row r="48" spans="1:16" x14ac:dyDescent="0.25">
      <c r="A48" s="58"/>
      <c r="B48" s="229" t="s">
        <v>57</v>
      </c>
      <c r="C48" s="304">
        <v>43313</v>
      </c>
      <c r="D48" s="195">
        <v>7</v>
      </c>
      <c r="E48" s="231">
        <v>1</v>
      </c>
      <c r="F48" s="227">
        <v>11.8</v>
      </c>
      <c r="G48" s="213">
        <f t="shared" ref="G48" si="7">+E48/D48</f>
        <v>0.14285714285714285</v>
      </c>
      <c r="H48" s="58"/>
      <c r="I48" s="58"/>
      <c r="J48" s="58"/>
      <c r="K48" s="256">
        <v>43405</v>
      </c>
      <c r="L48" s="258">
        <v>208</v>
      </c>
      <c r="M48" s="3">
        <v>268</v>
      </c>
      <c r="N48" s="107">
        <v>2241.9</v>
      </c>
      <c r="O48" s="244">
        <f>+M48/L48</f>
        <v>1.2884615384615385</v>
      </c>
      <c r="P48" s="58"/>
    </row>
    <row r="49" spans="1:16" x14ac:dyDescent="0.25">
      <c r="A49" s="58"/>
      <c r="B49" s="230" t="s">
        <v>58</v>
      </c>
      <c r="C49" s="304"/>
      <c r="D49" s="72">
        <v>6</v>
      </c>
      <c r="E49" s="72">
        <v>5</v>
      </c>
      <c r="F49" s="260">
        <v>56.1</v>
      </c>
      <c r="G49" s="260">
        <v>0.83</v>
      </c>
      <c r="H49" s="192"/>
      <c r="I49" s="58"/>
      <c r="J49" s="58"/>
      <c r="K49" s="256">
        <v>43435</v>
      </c>
      <c r="L49" s="342" t="s">
        <v>115</v>
      </c>
      <c r="M49" s="343"/>
      <c r="N49" s="343"/>
      <c r="O49" s="344"/>
      <c r="P49" s="64"/>
    </row>
    <row r="50" spans="1:16" x14ac:dyDescent="0.25">
      <c r="A50" s="58"/>
      <c r="B50" s="230" t="s">
        <v>59</v>
      </c>
      <c r="C50" s="304"/>
      <c r="D50" s="195">
        <v>3</v>
      </c>
      <c r="E50" s="231">
        <v>8</v>
      </c>
      <c r="F50" s="227">
        <v>52.69</v>
      </c>
      <c r="G50" s="213">
        <f t="shared" si="1"/>
        <v>2.6666666666666665</v>
      </c>
      <c r="H50" s="58"/>
      <c r="I50" s="58"/>
      <c r="J50" s="58"/>
      <c r="K50" s="269" t="s">
        <v>2</v>
      </c>
      <c r="L50" s="270">
        <f>AVERAGE(L38:L49)</f>
        <v>207.72727272727272</v>
      </c>
      <c r="M50" s="270">
        <f>AVERAGE(M38:M49)</f>
        <v>303.18181818181819</v>
      </c>
      <c r="N50" s="270">
        <f>AVERAGE(N38:N49)</f>
        <v>2591.6836363636367</v>
      </c>
      <c r="O50" s="271">
        <f>AVERAGE(O38:O49)</f>
        <v>1.4593024728894297</v>
      </c>
      <c r="P50" s="58"/>
    </row>
    <row r="51" spans="1:16" x14ac:dyDescent="0.25">
      <c r="A51" s="58"/>
      <c r="B51" s="230" t="s">
        <v>60</v>
      </c>
      <c r="C51" s="304"/>
      <c r="D51" s="195">
        <v>5</v>
      </c>
      <c r="E51" s="231">
        <v>8</v>
      </c>
      <c r="F51" s="200">
        <v>77.73</v>
      </c>
      <c r="G51" s="213">
        <f t="shared" si="1"/>
        <v>1.6</v>
      </c>
      <c r="H51" s="58"/>
      <c r="I51" s="73"/>
      <c r="J51" s="73"/>
      <c r="K51" s="73"/>
      <c r="L51" s="73"/>
      <c r="M51" s="251"/>
      <c r="N51" s="113"/>
      <c r="O51" s="114"/>
      <c r="P51" s="58"/>
    </row>
    <row r="52" spans="1:16" x14ac:dyDescent="0.25">
      <c r="A52" s="58"/>
      <c r="B52" s="230" t="s">
        <v>61</v>
      </c>
      <c r="C52" s="304"/>
      <c r="D52" s="72">
        <v>6</v>
      </c>
      <c r="E52" s="72">
        <v>6</v>
      </c>
      <c r="F52" s="195">
        <v>56.16</v>
      </c>
      <c r="G52" s="213">
        <f t="shared" ref="G52:G54" si="8">+E52/D52</f>
        <v>1</v>
      </c>
      <c r="H52" s="73"/>
      <c r="I52" s="73"/>
      <c r="J52" s="73"/>
      <c r="K52" s="73"/>
      <c r="L52" s="58"/>
      <c r="M52" s="251"/>
      <c r="N52" s="117"/>
      <c r="O52" s="114"/>
      <c r="P52" s="58"/>
    </row>
    <row r="53" spans="1:16" x14ac:dyDescent="0.25">
      <c r="A53" s="58"/>
      <c r="B53" s="230" t="s">
        <v>57</v>
      </c>
      <c r="C53" s="304">
        <v>43344</v>
      </c>
      <c r="D53" s="195">
        <v>7</v>
      </c>
      <c r="E53" s="231">
        <v>1</v>
      </c>
      <c r="F53" s="227">
        <v>11.8</v>
      </c>
      <c r="G53" s="213">
        <f>+E53/D53</f>
        <v>0.14285714285714285</v>
      </c>
      <c r="H53" s="58"/>
      <c r="I53" s="58"/>
      <c r="J53" s="58"/>
      <c r="K53" s="58"/>
      <c r="L53" s="58"/>
      <c r="M53" s="118"/>
      <c r="N53" s="119"/>
      <c r="O53" s="120"/>
      <c r="P53" s="58"/>
    </row>
    <row r="54" spans="1:16" x14ac:dyDescent="0.25">
      <c r="A54" s="58"/>
      <c r="B54" s="230" t="s">
        <v>58</v>
      </c>
      <c r="C54" s="304"/>
      <c r="D54" s="434">
        <v>6</v>
      </c>
      <c r="E54" s="72">
        <f>0.25*15</f>
        <v>3.75</v>
      </c>
      <c r="F54" s="430">
        <f>0.25*142.39</f>
        <v>35.597499999999997</v>
      </c>
      <c r="G54" s="213">
        <f t="shared" si="8"/>
        <v>0.625</v>
      </c>
      <c r="H54" s="192"/>
      <c r="I54" s="121"/>
      <c r="J54" s="121"/>
      <c r="K54" s="121"/>
      <c r="L54" s="121"/>
      <c r="M54" s="251"/>
      <c r="N54" s="113"/>
      <c r="O54" s="114"/>
      <c r="P54" s="58"/>
    </row>
    <row r="55" spans="1:16" x14ac:dyDescent="0.25">
      <c r="A55" s="58"/>
      <c r="B55" s="230" t="s">
        <v>59</v>
      </c>
      <c r="C55" s="304"/>
      <c r="D55" s="434">
        <v>3</v>
      </c>
      <c r="E55" s="231">
        <v>7</v>
      </c>
      <c r="F55" s="432">
        <v>47.11</v>
      </c>
      <c r="G55" s="433">
        <f t="shared" si="1"/>
        <v>2.3333333333333335</v>
      </c>
      <c r="H55" s="58"/>
      <c r="I55" s="58"/>
      <c r="J55" s="58"/>
      <c r="K55" s="58"/>
      <c r="L55" s="58"/>
      <c r="M55" s="251"/>
      <c r="N55" s="117"/>
      <c r="O55" s="114"/>
      <c r="P55" s="58"/>
    </row>
    <row r="56" spans="1:16" x14ac:dyDescent="0.25">
      <c r="A56" s="58"/>
      <c r="B56" s="230" t="s">
        <v>60</v>
      </c>
      <c r="C56" s="304"/>
      <c r="D56" s="434">
        <v>5</v>
      </c>
      <c r="E56" s="231">
        <v>7</v>
      </c>
      <c r="F56" s="432">
        <v>68.760000000000005</v>
      </c>
      <c r="G56" s="433">
        <f t="shared" si="1"/>
        <v>1.4</v>
      </c>
      <c r="H56" s="73"/>
      <c r="I56" s="73"/>
      <c r="J56" s="73"/>
      <c r="K56" s="73"/>
      <c r="L56" s="73"/>
      <c r="M56" s="251"/>
      <c r="N56" s="117"/>
      <c r="O56" s="114"/>
      <c r="P56" s="58"/>
    </row>
    <row r="57" spans="1:16" x14ac:dyDescent="0.25">
      <c r="A57" s="58"/>
      <c r="B57" s="230" t="s">
        <v>61</v>
      </c>
      <c r="C57" s="304"/>
      <c r="D57" s="434">
        <v>6</v>
      </c>
      <c r="E57" s="72">
        <v>6</v>
      </c>
      <c r="F57" s="430">
        <v>56.16</v>
      </c>
      <c r="G57" s="433">
        <f t="shared" ref="G57:G68" si="9">+E57/D57</f>
        <v>1</v>
      </c>
      <c r="H57" s="73"/>
      <c r="I57" s="73"/>
      <c r="J57" s="73"/>
      <c r="K57" s="73"/>
      <c r="L57" s="251"/>
      <c r="M57" s="251"/>
      <c r="N57" s="117"/>
      <c r="O57" s="114"/>
      <c r="P57" s="58"/>
    </row>
    <row r="58" spans="1:16" x14ac:dyDescent="0.25">
      <c r="A58" s="58"/>
      <c r="B58" s="228" t="s">
        <v>57</v>
      </c>
      <c r="C58" s="304">
        <v>43374</v>
      </c>
      <c r="D58" s="195">
        <v>7</v>
      </c>
      <c r="E58" s="231">
        <v>1</v>
      </c>
      <c r="F58" s="227">
        <v>11.8</v>
      </c>
      <c r="G58" s="213">
        <f t="shared" si="9"/>
        <v>0.14285714285714285</v>
      </c>
      <c r="H58" s="58"/>
      <c r="I58" s="58"/>
      <c r="J58" s="58"/>
      <c r="K58" s="58"/>
      <c r="L58" s="58"/>
      <c r="M58" s="122"/>
      <c r="N58" s="122"/>
      <c r="O58" s="122"/>
      <c r="P58" s="58"/>
    </row>
    <row r="59" spans="1:16" x14ac:dyDescent="0.25">
      <c r="A59" s="58"/>
      <c r="B59" s="212" t="s">
        <v>58</v>
      </c>
      <c r="C59" s="304"/>
      <c r="D59" s="434">
        <v>6</v>
      </c>
      <c r="E59" s="431">
        <f>0.25*8</f>
        <v>2</v>
      </c>
      <c r="F59" s="200">
        <f>0.25*77.86</f>
        <v>19.465</v>
      </c>
      <c r="G59" s="433">
        <f t="shared" si="9"/>
        <v>0.33333333333333331</v>
      </c>
      <c r="H59" s="192"/>
      <c r="I59" s="73"/>
      <c r="J59" s="73"/>
      <c r="K59" s="73"/>
      <c r="L59" s="75"/>
      <c r="M59" s="58"/>
      <c r="N59" s="58"/>
      <c r="O59" s="58"/>
      <c r="P59" s="58"/>
    </row>
    <row r="60" spans="1:16" x14ac:dyDescent="0.25">
      <c r="A60" s="58"/>
      <c r="B60" s="212" t="s">
        <v>59</v>
      </c>
      <c r="C60" s="304"/>
      <c r="D60" s="434">
        <v>3</v>
      </c>
      <c r="E60" s="430">
        <v>6</v>
      </c>
      <c r="F60" s="433">
        <v>41.01</v>
      </c>
      <c r="G60" s="433">
        <f t="shared" si="9"/>
        <v>2</v>
      </c>
      <c r="H60" s="58"/>
      <c r="I60" s="58"/>
      <c r="J60" s="58"/>
      <c r="K60" s="58"/>
      <c r="L60" s="58"/>
      <c r="M60" s="58"/>
      <c r="N60" s="58"/>
      <c r="O60" s="58"/>
      <c r="P60" s="58"/>
    </row>
    <row r="61" spans="1:16" x14ac:dyDescent="0.25">
      <c r="A61" s="58"/>
      <c r="B61" s="212" t="s">
        <v>60</v>
      </c>
      <c r="C61" s="304"/>
      <c r="D61" s="434">
        <v>5</v>
      </c>
      <c r="E61" s="430">
        <v>10</v>
      </c>
      <c r="F61" s="433">
        <v>95.67</v>
      </c>
      <c r="G61" s="433">
        <f t="shared" si="9"/>
        <v>2</v>
      </c>
      <c r="H61" s="58"/>
      <c r="I61" s="58"/>
      <c r="J61" s="58"/>
      <c r="K61" s="58"/>
      <c r="L61" s="58"/>
      <c r="M61" s="58"/>
      <c r="N61" s="58"/>
      <c r="O61" s="58"/>
      <c r="P61" s="58"/>
    </row>
    <row r="62" spans="1:16" x14ac:dyDescent="0.25">
      <c r="A62" s="58"/>
      <c r="B62" s="212" t="s">
        <v>68</v>
      </c>
      <c r="C62" s="304"/>
      <c r="D62" s="434">
        <v>6</v>
      </c>
      <c r="E62" s="431">
        <v>7</v>
      </c>
      <c r="F62" s="431">
        <v>69.22</v>
      </c>
      <c r="G62" s="433">
        <f t="shared" si="9"/>
        <v>1.1666666666666667</v>
      </c>
      <c r="H62" s="73"/>
      <c r="I62" s="73"/>
      <c r="J62" s="73"/>
      <c r="K62" s="73"/>
      <c r="L62" s="58"/>
      <c r="M62" s="58"/>
      <c r="N62" s="58"/>
      <c r="O62" s="58"/>
      <c r="P62" s="58"/>
    </row>
    <row r="63" spans="1:16" x14ac:dyDescent="0.25">
      <c r="A63" s="58"/>
      <c r="B63" s="228" t="s">
        <v>57</v>
      </c>
      <c r="C63" s="304">
        <v>43405</v>
      </c>
      <c r="D63" s="195">
        <v>7</v>
      </c>
      <c r="E63" s="231">
        <v>1</v>
      </c>
      <c r="F63" s="227">
        <v>11.8</v>
      </c>
      <c r="G63" s="213">
        <f t="shared" si="9"/>
        <v>0.14285714285714285</v>
      </c>
      <c r="H63" s="58"/>
      <c r="I63" s="58"/>
      <c r="J63" s="58"/>
      <c r="K63" s="58"/>
      <c r="L63" s="58"/>
      <c r="M63" s="58"/>
      <c r="N63" s="58"/>
      <c r="O63" s="58"/>
      <c r="P63" s="58"/>
    </row>
    <row r="64" spans="1:16" x14ac:dyDescent="0.25">
      <c r="A64" s="58"/>
      <c r="B64" s="212" t="s">
        <v>58</v>
      </c>
      <c r="C64" s="304"/>
      <c r="D64" s="434">
        <v>6</v>
      </c>
      <c r="E64" s="431">
        <f>0.25*10</f>
        <v>2.5</v>
      </c>
      <c r="F64" s="200">
        <f>0.25*95.62</f>
        <v>23.905000000000001</v>
      </c>
      <c r="G64" s="433">
        <f t="shared" si="9"/>
        <v>0.41666666666666669</v>
      </c>
      <c r="H64" s="192"/>
      <c r="I64" s="73"/>
      <c r="J64" s="73"/>
      <c r="K64" s="73"/>
      <c r="L64" s="73"/>
      <c r="M64" s="73"/>
      <c r="N64" s="58"/>
      <c r="O64" s="58"/>
      <c r="P64" s="58"/>
    </row>
    <row r="65" spans="1:16" x14ac:dyDescent="0.25">
      <c r="A65" s="58"/>
      <c r="B65" s="212" t="s">
        <v>59</v>
      </c>
      <c r="C65" s="304"/>
      <c r="D65" s="434">
        <v>3</v>
      </c>
      <c r="E65" s="430">
        <v>6</v>
      </c>
      <c r="F65" s="433">
        <v>41.01</v>
      </c>
      <c r="G65" s="433">
        <f t="shared" ref="G65" si="10">+E65/D65</f>
        <v>2</v>
      </c>
      <c r="H65" s="58"/>
      <c r="I65" s="58"/>
      <c r="J65" s="58"/>
      <c r="K65" s="58"/>
      <c r="L65" s="58"/>
      <c r="M65" s="58"/>
      <c r="N65" s="58"/>
      <c r="O65" s="58"/>
      <c r="P65" s="58"/>
    </row>
    <row r="66" spans="1:16" x14ac:dyDescent="0.25">
      <c r="A66" s="58"/>
      <c r="B66" s="212" t="s">
        <v>60</v>
      </c>
      <c r="C66" s="304"/>
      <c r="D66" s="434">
        <v>5</v>
      </c>
      <c r="E66" s="430">
        <v>4</v>
      </c>
      <c r="F66" s="433">
        <v>41.84</v>
      </c>
      <c r="G66" s="433">
        <f t="shared" si="9"/>
        <v>0.8</v>
      </c>
      <c r="H66" s="58"/>
      <c r="I66" s="58"/>
      <c r="J66" s="58"/>
      <c r="K66" s="58"/>
      <c r="L66" s="58"/>
      <c r="M66" s="58"/>
      <c r="N66" s="58"/>
      <c r="O66" s="58"/>
      <c r="P66" s="58"/>
    </row>
    <row r="67" spans="1:16" x14ac:dyDescent="0.25">
      <c r="A67" s="58"/>
      <c r="B67" s="212" t="s">
        <v>61</v>
      </c>
      <c r="C67" s="304"/>
      <c r="D67" s="434">
        <v>6</v>
      </c>
      <c r="E67" s="431">
        <v>16</v>
      </c>
      <c r="F67" s="430">
        <v>149.51</v>
      </c>
      <c r="G67" s="433">
        <f t="shared" si="9"/>
        <v>2.6666666666666665</v>
      </c>
      <c r="H67" s="73"/>
      <c r="I67" s="73"/>
      <c r="J67" s="73"/>
      <c r="K67" s="73"/>
      <c r="L67" s="58"/>
      <c r="M67" s="58"/>
      <c r="N67" s="58"/>
      <c r="O67" s="58"/>
      <c r="P67" s="58"/>
    </row>
    <row r="68" spans="1:16" x14ac:dyDescent="0.25">
      <c r="A68" s="58"/>
      <c r="B68" s="228" t="s">
        <v>57</v>
      </c>
      <c r="C68" s="304">
        <v>43435</v>
      </c>
      <c r="D68" s="195">
        <v>7</v>
      </c>
      <c r="E68" s="435" t="s">
        <v>117</v>
      </c>
      <c r="F68" s="436"/>
      <c r="G68" s="437"/>
      <c r="H68" s="58"/>
      <c r="I68" s="58"/>
      <c r="J68" s="58"/>
      <c r="K68" s="58"/>
      <c r="L68" s="58"/>
      <c r="M68" s="58"/>
      <c r="N68" s="58"/>
      <c r="O68" s="58"/>
      <c r="P68" s="58"/>
    </row>
    <row r="69" spans="1:16" x14ac:dyDescent="0.25">
      <c r="A69" s="58"/>
      <c r="B69" s="212" t="s">
        <v>58</v>
      </c>
      <c r="C69" s="304"/>
      <c r="D69" s="434">
        <v>6</v>
      </c>
      <c r="E69" s="435" t="s">
        <v>117</v>
      </c>
      <c r="F69" s="436"/>
      <c r="G69" s="437"/>
      <c r="H69" s="192"/>
      <c r="I69" s="58"/>
      <c r="J69" s="58"/>
      <c r="K69" s="58"/>
      <c r="L69" s="58"/>
      <c r="M69" s="58"/>
      <c r="N69" s="58"/>
      <c r="O69" s="58"/>
      <c r="P69" s="58"/>
    </row>
    <row r="70" spans="1:16" x14ac:dyDescent="0.25">
      <c r="A70" s="58"/>
      <c r="B70" s="212" t="s">
        <v>59</v>
      </c>
      <c r="C70" s="304"/>
      <c r="D70" s="434">
        <v>3</v>
      </c>
      <c r="E70" s="430">
        <v>6</v>
      </c>
      <c r="F70" s="432">
        <v>41.01</v>
      </c>
      <c r="G70" s="433">
        <f>E70/F70</f>
        <v>0.14630577907827361</v>
      </c>
      <c r="H70" s="58"/>
      <c r="I70" s="58"/>
      <c r="J70" s="58"/>
      <c r="K70" s="58"/>
      <c r="L70" s="58"/>
      <c r="M70" s="58"/>
      <c r="N70" s="58"/>
      <c r="O70" s="58"/>
      <c r="P70" s="58"/>
    </row>
    <row r="71" spans="1:16" x14ac:dyDescent="0.25">
      <c r="A71" s="58"/>
      <c r="B71" s="212" t="s">
        <v>60</v>
      </c>
      <c r="C71" s="304"/>
      <c r="D71" s="434">
        <v>5</v>
      </c>
      <c r="E71" s="430">
        <v>7</v>
      </c>
      <c r="F71" s="433">
        <v>68.760000000000005</v>
      </c>
      <c r="G71" s="433">
        <f t="shared" ref="G71:G72" si="11">E71/F71</f>
        <v>0.10180337405468294</v>
      </c>
      <c r="H71" s="58"/>
      <c r="I71" s="58"/>
      <c r="J71" s="58"/>
      <c r="K71" s="58"/>
      <c r="L71" s="58"/>
      <c r="M71" s="58"/>
      <c r="N71" s="58"/>
      <c r="O71" s="58"/>
      <c r="P71" s="58"/>
    </row>
    <row r="72" spans="1:16" x14ac:dyDescent="0.25">
      <c r="A72" s="58"/>
      <c r="B72" s="212" t="s">
        <v>61</v>
      </c>
      <c r="C72" s="304"/>
      <c r="D72" s="434">
        <v>6</v>
      </c>
      <c r="E72" s="431">
        <v>15</v>
      </c>
      <c r="F72" s="432">
        <v>141.21</v>
      </c>
      <c r="G72" s="433">
        <f t="shared" si="11"/>
        <v>0.10622477161674101</v>
      </c>
      <c r="H72" s="73"/>
      <c r="I72" s="73"/>
      <c r="J72" s="73"/>
      <c r="K72" s="73"/>
      <c r="L72" s="73"/>
      <c r="M72" s="73"/>
      <c r="N72" s="58"/>
      <c r="O72" s="58"/>
      <c r="P72" s="58"/>
    </row>
    <row r="73" spans="1:16" x14ac:dyDescent="0.25">
      <c r="A73" s="58"/>
      <c r="B73" s="58"/>
      <c r="C73" s="58"/>
      <c r="D73" s="250"/>
      <c r="E73" s="250"/>
      <c r="F73" s="250"/>
      <c r="G73" s="250"/>
      <c r="H73" s="58"/>
      <c r="I73" s="58"/>
      <c r="J73" s="58"/>
      <c r="K73" s="58"/>
      <c r="L73" s="58"/>
      <c r="M73" s="58"/>
      <c r="N73" s="58"/>
      <c r="O73" s="58"/>
      <c r="P73" s="58"/>
    </row>
    <row r="74" spans="1:16" x14ac:dyDescent="0.25">
      <c r="A74" s="58"/>
      <c r="B74" s="308" t="s">
        <v>103</v>
      </c>
      <c r="C74" s="308"/>
      <c r="D74" s="308"/>
      <c r="E74" s="308"/>
      <c r="F74" s="308"/>
      <c r="G74" s="308"/>
      <c r="H74" s="308"/>
      <c r="I74" s="308"/>
      <c r="J74" s="308"/>
      <c r="K74" s="58"/>
      <c r="L74" s="58"/>
      <c r="M74" s="58"/>
      <c r="N74" s="58"/>
      <c r="O74" s="58"/>
      <c r="P74" s="58"/>
    </row>
    <row r="75" spans="1:16" x14ac:dyDescent="0.25">
      <c r="A75" s="58"/>
      <c r="B75" s="249" t="s">
        <v>83</v>
      </c>
      <c r="C75" s="249"/>
      <c r="D75" s="249"/>
      <c r="E75" s="249"/>
      <c r="F75" s="249"/>
      <c r="G75" s="250"/>
      <c r="H75" s="58"/>
      <c r="I75" s="58"/>
      <c r="J75" s="58"/>
      <c r="K75" s="58"/>
      <c r="L75" s="58"/>
      <c r="M75" s="58"/>
      <c r="N75" s="58"/>
      <c r="O75" s="58"/>
      <c r="P75" s="58"/>
    </row>
    <row r="76" spans="1:16" x14ac:dyDescent="0.25">
      <c r="A76" s="58"/>
      <c r="B76" s="58"/>
      <c r="C76" s="58"/>
      <c r="D76" s="250"/>
      <c r="E76" s="250"/>
      <c r="F76" s="250"/>
      <c r="G76" s="250"/>
      <c r="H76" s="58"/>
      <c r="I76" s="58"/>
      <c r="J76" s="58"/>
      <c r="K76" s="58"/>
      <c r="L76" s="58"/>
      <c r="M76" s="58"/>
      <c r="N76" s="58"/>
      <c r="O76" s="58"/>
      <c r="P76" s="58"/>
    </row>
  </sheetData>
  <mergeCells count="44">
    <mergeCell ref="B10:F10"/>
    <mergeCell ref="F11:F12"/>
    <mergeCell ref="O33:O37"/>
    <mergeCell ref="O11:O12"/>
    <mergeCell ref="C13:C17"/>
    <mergeCell ref="C18:C22"/>
    <mergeCell ref="C23:C27"/>
    <mergeCell ref="C28:C32"/>
    <mergeCell ref="K30:O30"/>
    <mergeCell ref="K31:O31"/>
    <mergeCell ref="G11:G12"/>
    <mergeCell ref="H11:J12"/>
    <mergeCell ref="K11:K12"/>
    <mergeCell ref="L11:L12"/>
    <mergeCell ref="M11:M12"/>
    <mergeCell ref="N11:N12"/>
    <mergeCell ref="B9:F9"/>
    <mergeCell ref="K9:O9"/>
    <mergeCell ref="B4:G4"/>
    <mergeCell ref="B6:F6"/>
    <mergeCell ref="B7:F7"/>
    <mergeCell ref="B8:F8"/>
    <mergeCell ref="K8:O8"/>
    <mergeCell ref="A11:A12"/>
    <mergeCell ref="B11:B12"/>
    <mergeCell ref="C11:C12"/>
    <mergeCell ref="D11:D12"/>
    <mergeCell ref="E11:E12"/>
    <mergeCell ref="C33:C37"/>
    <mergeCell ref="K33:K37"/>
    <mergeCell ref="L33:L37"/>
    <mergeCell ref="M33:M37"/>
    <mergeCell ref="N33:N37"/>
    <mergeCell ref="B74:J74"/>
    <mergeCell ref="C53:C57"/>
    <mergeCell ref="C58:C62"/>
    <mergeCell ref="C63:C67"/>
    <mergeCell ref="C68:C72"/>
    <mergeCell ref="E69:G69"/>
    <mergeCell ref="E68:G68"/>
    <mergeCell ref="C38:C42"/>
    <mergeCell ref="C43:C47"/>
    <mergeCell ref="C48:C52"/>
    <mergeCell ref="L49:O4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4:AB156"/>
  <sheetViews>
    <sheetView topLeftCell="A106" zoomScale="84" zoomScaleNormal="84" workbookViewId="0">
      <selection activeCell="S145" sqref="S145"/>
    </sheetView>
  </sheetViews>
  <sheetFormatPr baseColWidth="10" defaultColWidth="11.42578125" defaultRowHeight="12" x14ac:dyDescent="0.2"/>
  <cols>
    <col min="1" max="1" width="2.7109375" style="6" customWidth="1"/>
    <col min="2" max="2" width="10.42578125" style="17" customWidth="1"/>
    <col min="3" max="5" width="10.42578125" style="6" customWidth="1"/>
    <col min="6" max="6" width="18.42578125" style="6" customWidth="1"/>
    <col min="7" max="7" width="16.5703125" style="6" customWidth="1"/>
    <col min="8" max="11" width="10.42578125" style="6" customWidth="1"/>
    <col min="12" max="12" width="12" style="6" customWidth="1"/>
    <col min="13" max="13" width="17" style="6" customWidth="1"/>
    <col min="14" max="14" width="10.42578125" style="17" customWidth="1"/>
    <col min="15" max="17" width="10.42578125" style="6" customWidth="1"/>
    <col min="18" max="18" width="12.28515625" style="6" customWidth="1"/>
    <col min="19" max="19" width="17" style="6" customWidth="1"/>
    <col min="20" max="22" width="10.42578125" style="6" customWidth="1"/>
    <col min="23" max="23" width="12.85546875" style="6" customWidth="1"/>
    <col min="24" max="24" width="12.28515625" style="6" customWidth="1"/>
    <col min="25" max="25" width="18.85546875" style="6" customWidth="1"/>
    <col min="26" max="26" width="22.140625" style="6" customWidth="1"/>
    <col min="27" max="16384" width="11.42578125" style="6"/>
  </cols>
  <sheetData>
    <row r="4" spans="2:28" x14ac:dyDescent="0.2">
      <c r="B4" s="21"/>
      <c r="C4" s="21"/>
      <c r="D4" s="21"/>
      <c r="E4" s="21"/>
      <c r="F4" s="21"/>
      <c r="H4" s="21"/>
      <c r="I4" s="21"/>
      <c r="J4" s="21"/>
      <c r="K4" s="21"/>
      <c r="L4" s="21"/>
    </row>
    <row r="5" spans="2:28" x14ac:dyDescent="0.2">
      <c r="B5" s="6"/>
    </row>
    <row r="6" spans="2:28" x14ac:dyDescent="0.2">
      <c r="B6" s="6"/>
    </row>
    <row r="7" spans="2:28" ht="12.75" thickBot="1" x14ac:dyDescent="0.25">
      <c r="B7" s="6"/>
      <c r="C7" s="127"/>
      <c r="D7" s="128"/>
      <c r="E7" s="128"/>
      <c r="F7" s="128"/>
      <c r="N7" s="6"/>
      <c r="O7" s="127"/>
      <c r="P7" s="128"/>
      <c r="Q7" s="128"/>
      <c r="R7" s="128"/>
    </row>
    <row r="8" spans="2:28" ht="16.5" thickBot="1" x14ac:dyDescent="0.3">
      <c r="B8" s="6"/>
      <c r="C8" s="362" t="s">
        <v>110</v>
      </c>
      <c r="D8" s="363"/>
      <c r="E8" s="363"/>
      <c r="F8" s="363"/>
      <c r="G8" s="364"/>
      <c r="I8" s="362" t="s">
        <v>110</v>
      </c>
      <c r="J8" s="363"/>
      <c r="K8" s="363"/>
      <c r="L8" s="363"/>
      <c r="M8" s="364"/>
      <c r="N8" s="6"/>
      <c r="O8" s="362" t="s">
        <v>110</v>
      </c>
      <c r="P8" s="363"/>
      <c r="Q8" s="363"/>
      <c r="R8" s="363"/>
      <c r="S8" s="364"/>
      <c r="U8" s="362" t="s">
        <v>110</v>
      </c>
      <c r="V8" s="363"/>
      <c r="W8" s="363"/>
      <c r="X8" s="363"/>
      <c r="Y8" s="364"/>
    </row>
    <row r="9" spans="2:28" ht="15" x14ac:dyDescent="0.25">
      <c r="B9" s="6"/>
      <c r="C9" s="365" t="s">
        <v>3</v>
      </c>
      <c r="D9" s="365"/>
      <c r="E9" s="365"/>
      <c r="F9" s="365"/>
      <c r="G9" s="365"/>
      <c r="I9" s="365" t="s">
        <v>4</v>
      </c>
      <c r="J9" s="365"/>
      <c r="K9" s="365"/>
      <c r="L9" s="365"/>
      <c r="M9" s="365"/>
      <c r="N9" s="6"/>
      <c r="O9" s="365" t="s">
        <v>5</v>
      </c>
      <c r="P9" s="365"/>
      <c r="Q9" s="365"/>
      <c r="R9" s="365"/>
      <c r="S9" s="365"/>
      <c r="U9" s="365" t="s">
        <v>6</v>
      </c>
      <c r="V9" s="365"/>
      <c r="W9" s="365"/>
      <c r="X9" s="365"/>
      <c r="Y9" s="365"/>
    </row>
    <row r="10" spans="2:28" ht="12.75" thickBot="1" x14ac:dyDescent="0.25">
      <c r="B10" s="6"/>
      <c r="C10" s="129"/>
      <c r="D10" s="129"/>
      <c r="E10" s="129"/>
      <c r="F10" s="129"/>
      <c r="G10" s="130"/>
      <c r="I10" s="129"/>
      <c r="J10" s="129"/>
      <c r="K10" s="129"/>
      <c r="L10" s="130"/>
      <c r="M10" s="130"/>
      <c r="N10" s="6"/>
      <c r="O10" s="129"/>
      <c r="P10" s="129"/>
      <c r="Q10" s="129"/>
      <c r="R10" s="129"/>
      <c r="S10" s="130"/>
      <c r="U10" s="129"/>
      <c r="V10" s="129"/>
      <c r="W10" s="129"/>
      <c r="X10" s="130"/>
      <c r="Y10" s="130"/>
    </row>
    <row r="11" spans="2:28" ht="21" customHeight="1" x14ac:dyDescent="0.2">
      <c r="B11" s="6"/>
      <c r="C11" s="366" t="s">
        <v>1</v>
      </c>
      <c r="D11" s="358" t="s">
        <v>0</v>
      </c>
      <c r="E11" s="358" t="s">
        <v>7</v>
      </c>
      <c r="F11" s="368" t="s">
        <v>8</v>
      </c>
      <c r="G11" s="360" t="s">
        <v>9</v>
      </c>
      <c r="I11" s="366" t="s">
        <v>1</v>
      </c>
      <c r="J11" s="358" t="s">
        <v>0</v>
      </c>
      <c r="K11" s="358" t="s">
        <v>7</v>
      </c>
      <c r="L11" s="368" t="s">
        <v>8</v>
      </c>
      <c r="M11" s="360" t="s">
        <v>9</v>
      </c>
      <c r="N11" s="6"/>
      <c r="O11" s="366" t="s">
        <v>1</v>
      </c>
      <c r="P11" s="358" t="s">
        <v>0</v>
      </c>
      <c r="Q11" s="358" t="s">
        <v>7</v>
      </c>
      <c r="R11" s="368" t="s">
        <v>8</v>
      </c>
      <c r="S11" s="360" t="s">
        <v>9</v>
      </c>
      <c r="U11" s="366" t="s">
        <v>1</v>
      </c>
      <c r="V11" s="358" t="s">
        <v>0</v>
      </c>
      <c r="W11" s="358" t="s">
        <v>10</v>
      </c>
      <c r="X11" s="368" t="s">
        <v>8</v>
      </c>
      <c r="Y11" s="360" t="s">
        <v>9</v>
      </c>
    </row>
    <row r="12" spans="2:28" ht="110.25" customHeight="1" thickBot="1" x14ac:dyDescent="0.25">
      <c r="B12" s="6"/>
      <c r="C12" s="367"/>
      <c r="D12" s="359"/>
      <c r="E12" s="359"/>
      <c r="F12" s="369"/>
      <c r="G12" s="361"/>
      <c r="I12" s="367"/>
      <c r="J12" s="359"/>
      <c r="K12" s="359"/>
      <c r="L12" s="369"/>
      <c r="M12" s="361"/>
      <c r="N12" s="6"/>
      <c r="O12" s="367"/>
      <c r="P12" s="359"/>
      <c r="Q12" s="359"/>
      <c r="R12" s="369"/>
      <c r="S12" s="361"/>
      <c r="U12" s="367"/>
      <c r="V12" s="359"/>
      <c r="W12" s="359"/>
      <c r="X12" s="369"/>
      <c r="Y12" s="361"/>
    </row>
    <row r="13" spans="2:28" ht="15.75" customHeight="1" thickBot="1" x14ac:dyDescent="0.3">
      <c r="B13" s="6"/>
      <c r="C13" s="204">
        <v>43101</v>
      </c>
      <c r="D13" s="183">
        <v>5</v>
      </c>
      <c r="E13" s="90">
        <v>181.5</v>
      </c>
      <c r="F13" s="90">
        <v>332.5</v>
      </c>
      <c r="G13" s="181">
        <f>+F13/D13</f>
        <v>66.5</v>
      </c>
      <c r="I13" s="7">
        <v>43101</v>
      </c>
      <c r="J13" s="8">
        <v>5</v>
      </c>
      <c r="K13" s="133">
        <v>195.9</v>
      </c>
      <c r="L13" s="133">
        <v>297</v>
      </c>
      <c r="M13" s="132">
        <f t="shared" ref="M13:M22" si="0">L13/J13</f>
        <v>59.4</v>
      </c>
      <c r="N13" s="6"/>
      <c r="O13" s="7">
        <v>43101</v>
      </c>
      <c r="P13" s="8">
        <v>7</v>
      </c>
      <c r="Q13" s="131">
        <v>272.18</v>
      </c>
      <c r="R13" s="134">
        <v>448</v>
      </c>
      <c r="S13" s="132">
        <f t="shared" ref="S13:S23" si="1">+R13/P13</f>
        <v>64</v>
      </c>
      <c r="U13" s="7">
        <v>43101</v>
      </c>
      <c r="V13" s="8">
        <v>5</v>
      </c>
      <c r="W13" s="135">
        <v>108.12</v>
      </c>
      <c r="X13" s="133">
        <v>143.63999999999999</v>
      </c>
      <c r="Y13" s="132">
        <f>+X13/V13</f>
        <v>28.727999999999998</v>
      </c>
      <c r="AA13" s="136"/>
      <c r="AB13" s="137"/>
    </row>
    <row r="14" spans="2:28" ht="15.75" customHeight="1" thickBot="1" x14ac:dyDescent="0.3">
      <c r="B14" s="6" t="s">
        <v>94</v>
      </c>
      <c r="C14" s="204">
        <v>43132</v>
      </c>
      <c r="D14" s="4">
        <v>5</v>
      </c>
      <c r="E14" s="150">
        <v>180</v>
      </c>
      <c r="F14" s="150">
        <v>317.39999999999998</v>
      </c>
      <c r="G14" s="263">
        <f>+F14/D14</f>
        <v>63.48</v>
      </c>
      <c r="I14" s="7">
        <v>43132</v>
      </c>
      <c r="J14" s="4">
        <v>5</v>
      </c>
      <c r="K14" s="9">
        <v>184.48</v>
      </c>
      <c r="L14" s="133">
        <v>281</v>
      </c>
      <c r="M14" s="132">
        <f t="shared" si="0"/>
        <v>56.2</v>
      </c>
      <c r="N14" s="6"/>
      <c r="O14" s="7">
        <v>43132</v>
      </c>
      <c r="P14" s="4">
        <v>7</v>
      </c>
      <c r="Q14" s="9">
        <v>213.56</v>
      </c>
      <c r="R14" s="10">
        <v>346</v>
      </c>
      <c r="S14" s="132">
        <f t="shared" si="1"/>
        <v>49.428571428571431</v>
      </c>
      <c r="U14" s="7">
        <v>43132</v>
      </c>
      <c r="V14" s="4">
        <v>5</v>
      </c>
      <c r="W14" s="138">
        <v>72.45</v>
      </c>
      <c r="X14" s="133">
        <v>136.74</v>
      </c>
      <c r="Y14" s="132">
        <f t="shared" ref="Y14:Y23" si="2">+X14/V14</f>
        <v>27.348000000000003</v>
      </c>
      <c r="AA14" s="136"/>
      <c r="AB14" s="137"/>
    </row>
    <row r="15" spans="2:28" ht="15.75" customHeight="1" thickBot="1" x14ac:dyDescent="0.3">
      <c r="B15" s="6"/>
      <c r="C15" s="204">
        <v>43160</v>
      </c>
      <c r="D15" s="4">
        <v>5</v>
      </c>
      <c r="E15" s="4">
        <v>193</v>
      </c>
      <c r="F15" s="4">
        <v>340.3</v>
      </c>
      <c r="G15" s="263">
        <f t="shared" ref="G15:G20" si="3">+F15/D15</f>
        <v>68.06</v>
      </c>
      <c r="I15" s="7">
        <v>43160</v>
      </c>
      <c r="J15" s="4">
        <v>5</v>
      </c>
      <c r="K15" s="9">
        <v>185.4</v>
      </c>
      <c r="L15" s="188">
        <v>276</v>
      </c>
      <c r="M15" s="132">
        <f t="shared" si="0"/>
        <v>55.2</v>
      </c>
      <c r="N15" s="6"/>
      <c r="O15" s="7">
        <v>43160</v>
      </c>
      <c r="P15" s="4">
        <v>7</v>
      </c>
      <c r="Q15" s="9">
        <v>248.01</v>
      </c>
      <c r="R15" s="10">
        <v>396</v>
      </c>
      <c r="S15" s="132">
        <f t="shared" si="1"/>
        <v>56.571428571428569</v>
      </c>
      <c r="U15" s="7">
        <v>43160</v>
      </c>
      <c r="V15" s="4">
        <v>5</v>
      </c>
      <c r="W15" s="198">
        <f>0.3*402.3</f>
        <v>120.69</v>
      </c>
      <c r="X15" s="198">
        <f>0.3*453</f>
        <v>135.9</v>
      </c>
      <c r="Y15" s="132">
        <f t="shared" si="2"/>
        <v>27.18</v>
      </c>
      <c r="AA15" s="136"/>
      <c r="AB15" s="137"/>
    </row>
    <row r="16" spans="2:28" ht="16.5" customHeight="1" thickBot="1" x14ac:dyDescent="0.3">
      <c r="B16" s="6"/>
      <c r="C16" s="204">
        <v>43191</v>
      </c>
      <c r="D16" s="4">
        <v>5</v>
      </c>
      <c r="E16" s="10">
        <v>218</v>
      </c>
      <c r="F16" s="10">
        <v>353.5</v>
      </c>
      <c r="G16" s="263">
        <f t="shared" si="3"/>
        <v>70.7</v>
      </c>
      <c r="I16" s="7">
        <v>43191</v>
      </c>
      <c r="J16" s="4">
        <v>5</v>
      </c>
      <c r="K16" s="9">
        <v>254.25</v>
      </c>
      <c r="L16" s="133">
        <v>306</v>
      </c>
      <c r="M16" s="132">
        <f t="shared" si="0"/>
        <v>61.2</v>
      </c>
      <c r="N16" s="6"/>
      <c r="O16" s="7">
        <v>43191</v>
      </c>
      <c r="P16" s="4">
        <v>7</v>
      </c>
      <c r="Q16" s="9">
        <v>257.10000000000002</v>
      </c>
      <c r="R16" s="10">
        <v>338</v>
      </c>
      <c r="S16" s="132">
        <f t="shared" si="1"/>
        <v>48.285714285714285</v>
      </c>
      <c r="U16" s="7">
        <v>43191</v>
      </c>
      <c r="V16" s="4">
        <v>5</v>
      </c>
      <c r="W16" s="198">
        <f>0.3*428.6</f>
        <v>128.58000000000001</v>
      </c>
      <c r="X16" s="133">
        <f>0.3*485</f>
        <v>145.5</v>
      </c>
      <c r="Y16" s="132">
        <f t="shared" si="2"/>
        <v>29.1</v>
      </c>
      <c r="Z16" s="159"/>
      <c r="AA16" s="136"/>
      <c r="AB16" s="137"/>
    </row>
    <row r="17" spans="2:28" ht="18" customHeight="1" thickBot="1" x14ac:dyDescent="0.3">
      <c r="B17" s="6" t="s">
        <v>94</v>
      </c>
      <c r="C17" s="204">
        <v>43221</v>
      </c>
      <c r="D17" s="4">
        <v>5</v>
      </c>
      <c r="E17" s="10">
        <v>229.2</v>
      </c>
      <c r="F17" s="10">
        <v>408</v>
      </c>
      <c r="G17" s="263">
        <f t="shared" si="3"/>
        <v>81.599999999999994</v>
      </c>
      <c r="I17" s="7">
        <v>43221</v>
      </c>
      <c r="J17" s="4">
        <v>5</v>
      </c>
      <c r="K17" s="9">
        <v>202.4</v>
      </c>
      <c r="L17" s="133">
        <v>249</v>
      </c>
      <c r="M17" s="132">
        <f t="shared" si="0"/>
        <v>49.8</v>
      </c>
      <c r="N17" s="6"/>
      <c r="O17" s="7">
        <v>43221</v>
      </c>
      <c r="P17" s="4">
        <v>7</v>
      </c>
      <c r="Q17" s="9">
        <v>318.2</v>
      </c>
      <c r="R17" s="10">
        <v>438</v>
      </c>
      <c r="S17" s="132">
        <f t="shared" si="1"/>
        <v>62.571428571428569</v>
      </c>
      <c r="U17" s="7">
        <v>43221</v>
      </c>
      <c r="V17" s="4">
        <v>5</v>
      </c>
      <c r="W17" s="139">
        <f>0.3*425.5</f>
        <v>127.64999999999999</v>
      </c>
      <c r="X17" s="133">
        <f>0.3*499</f>
        <v>149.69999999999999</v>
      </c>
      <c r="Y17" s="132">
        <f t="shared" si="2"/>
        <v>29.939999999999998</v>
      </c>
      <c r="AA17" s="136"/>
      <c r="AB17" s="137"/>
    </row>
    <row r="18" spans="2:28" ht="17.25" customHeight="1" thickBot="1" x14ac:dyDescent="0.3">
      <c r="B18" s="6"/>
      <c r="C18" s="204">
        <v>43252</v>
      </c>
      <c r="D18" s="257">
        <v>5</v>
      </c>
      <c r="E18" s="221">
        <v>229.2</v>
      </c>
      <c r="F18" s="221">
        <v>408</v>
      </c>
      <c r="G18" s="274">
        <f t="shared" ref="G18" si="4">+F18/D18</f>
        <v>81.599999999999994</v>
      </c>
      <c r="I18" s="7">
        <v>43252</v>
      </c>
      <c r="J18" s="4">
        <v>5</v>
      </c>
      <c r="K18" s="9">
        <v>233.55</v>
      </c>
      <c r="L18" s="133">
        <v>234</v>
      </c>
      <c r="M18" s="132">
        <f t="shared" si="0"/>
        <v>46.8</v>
      </c>
      <c r="N18" s="6"/>
      <c r="O18" s="7">
        <v>43252</v>
      </c>
      <c r="P18" s="4">
        <v>7</v>
      </c>
      <c r="Q18" s="9">
        <v>420.9</v>
      </c>
      <c r="R18" s="10">
        <v>579</v>
      </c>
      <c r="S18" s="132">
        <f t="shared" si="1"/>
        <v>82.714285714285708</v>
      </c>
      <c r="U18" s="7">
        <v>43252</v>
      </c>
      <c r="V18" s="4">
        <v>5</v>
      </c>
      <c r="W18" s="198">
        <f>0.3*464.9</f>
        <v>139.47</v>
      </c>
      <c r="X18" s="133">
        <f>0.3*521</f>
        <v>156.29999999999998</v>
      </c>
      <c r="Y18" s="132">
        <f t="shared" si="2"/>
        <v>31.259999999999998</v>
      </c>
      <c r="AA18" s="136"/>
      <c r="AB18" s="137"/>
    </row>
    <row r="19" spans="2:28" ht="15.75" customHeight="1" thickBot="1" x14ac:dyDescent="0.3">
      <c r="B19" s="6"/>
      <c r="C19" s="204">
        <v>43282</v>
      </c>
      <c r="D19" s="4">
        <v>5</v>
      </c>
      <c r="E19" s="221">
        <v>217.34</v>
      </c>
      <c r="F19" s="221">
        <v>392</v>
      </c>
      <c r="G19" s="274">
        <f t="shared" si="3"/>
        <v>78.400000000000006</v>
      </c>
      <c r="I19" s="7">
        <v>43282</v>
      </c>
      <c r="J19" s="4">
        <v>5</v>
      </c>
      <c r="K19" s="9">
        <v>256.05</v>
      </c>
      <c r="L19" s="133">
        <v>309</v>
      </c>
      <c r="M19" s="132">
        <f t="shared" si="0"/>
        <v>61.8</v>
      </c>
      <c r="N19" s="6"/>
      <c r="O19" s="7">
        <v>43282</v>
      </c>
      <c r="P19" s="4">
        <v>7</v>
      </c>
      <c r="Q19" s="9">
        <v>319.89999999999998</v>
      </c>
      <c r="R19" s="10">
        <v>438</v>
      </c>
      <c r="S19" s="132">
        <f t="shared" si="1"/>
        <v>62.571428571428569</v>
      </c>
      <c r="U19" s="7">
        <v>43282</v>
      </c>
      <c r="V19" s="4">
        <v>5</v>
      </c>
      <c r="W19" s="198">
        <f>0.3*513.1</f>
        <v>153.93</v>
      </c>
      <c r="X19" s="133">
        <f>0.3*464.5</f>
        <v>139.35</v>
      </c>
      <c r="Y19" s="132">
        <f t="shared" si="2"/>
        <v>27.869999999999997</v>
      </c>
      <c r="AA19" s="136"/>
      <c r="AB19" s="137"/>
    </row>
    <row r="20" spans="2:28" ht="17.25" customHeight="1" thickBot="1" x14ac:dyDescent="0.3">
      <c r="B20" s="6"/>
      <c r="C20" s="204">
        <v>43313</v>
      </c>
      <c r="D20" s="12">
        <v>5</v>
      </c>
      <c r="E20" s="221">
        <v>259.85000000000002</v>
      </c>
      <c r="F20" s="221">
        <v>449</v>
      </c>
      <c r="G20" s="174">
        <f t="shared" si="3"/>
        <v>89.8</v>
      </c>
      <c r="I20" s="7">
        <v>43313</v>
      </c>
      <c r="J20" s="4">
        <v>5</v>
      </c>
      <c r="K20" s="9">
        <v>254.95</v>
      </c>
      <c r="L20" s="133">
        <v>307</v>
      </c>
      <c r="M20" s="132">
        <f t="shared" si="0"/>
        <v>61.4</v>
      </c>
      <c r="N20" s="6"/>
      <c r="O20" s="7">
        <v>43313</v>
      </c>
      <c r="P20" s="4">
        <v>7</v>
      </c>
      <c r="Q20" s="9">
        <v>441.2</v>
      </c>
      <c r="R20" s="10">
        <v>590</v>
      </c>
      <c r="S20" s="132">
        <f t="shared" si="1"/>
        <v>84.285714285714292</v>
      </c>
      <c r="U20" s="7">
        <v>43313</v>
      </c>
      <c r="V20" s="11">
        <v>5</v>
      </c>
      <c r="W20" s="198">
        <f>0.3*460.72</f>
        <v>138.21600000000001</v>
      </c>
      <c r="X20" s="133">
        <v>120.12</v>
      </c>
      <c r="Y20" s="132">
        <f t="shared" si="2"/>
        <v>24.024000000000001</v>
      </c>
      <c r="AA20" s="136"/>
      <c r="AB20" s="137"/>
    </row>
    <row r="21" spans="2:28" ht="16.5" customHeight="1" thickBot="1" x14ac:dyDescent="0.3">
      <c r="B21" s="6"/>
      <c r="C21" s="204">
        <v>43344</v>
      </c>
      <c r="D21" s="4">
        <v>5</v>
      </c>
      <c r="E21" s="10">
        <v>218</v>
      </c>
      <c r="F21" s="10">
        <v>353.5</v>
      </c>
      <c r="G21" s="263">
        <f t="shared" ref="G21:G23" si="5">+F21/D21</f>
        <v>70.7</v>
      </c>
      <c r="I21" s="7">
        <v>43344</v>
      </c>
      <c r="J21" s="4">
        <v>5</v>
      </c>
      <c r="K21" s="9">
        <v>238.2</v>
      </c>
      <c r="L21" s="133">
        <v>294</v>
      </c>
      <c r="M21" s="132">
        <f t="shared" si="0"/>
        <v>58.8</v>
      </c>
      <c r="N21" s="6"/>
      <c r="O21" s="7">
        <v>43344</v>
      </c>
      <c r="P21" s="4">
        <v>7</v>
      </c>
      <c r="Q21" s="9">
        <v>340.6</v>
      </c>
      <c r="R21" s="10">
        <v>478</v>
      </c>
      <c r="S21" s="132">
        <f t="shared" si="1"/>
        <v>68.285714285714292</v>
      </c>
      <c r="U21" s="7">
        <v>43344</v>
      </c>
      <c r="V21" s="4">
        <v>5</v>
      </c>
      <c r="W21" s="198">
        <f>0.3*529.4</f>
        <v>158.82</v>
      </c>
      <c r="X21" s="133">
        <f>0.3*510</f>
        <v>153</v>
      </c>
      <c r="Y21" s="132">
        <f t="shared" si="2"/>
        <v>30.6</v>
      </c>
      <c r="AA21" s="136"/>
      <c r="AB21" s="137"/>
    </row>
    <row r="22" spans="2:28" ht="17.25" customHeight="1" thickBot="1" x14ac:dyDescent="0.3">
      <c r="B22" s="6"/>
      <c r="C22" s="204">
        <v>43374</v>
      </c>
      <c r="D22" s="4">
        <v>5</v>
      </c>
      <c r="E22" s="10">
        <v>229.2</v>
      </c>
      <c r="F22" s="10">
        <v>408</v>
      </c>
      <c r="G22" s="263">
        <f t="shared" si="5"/>
        <v>81.599999999999994</v>
      </c>
      <c r="I22" s="7">
        <v>43374</v>
      </c>
      <c r="J22" s="4">
        <v>5</v>
      </c>
      <c r="K22" s="9">
        <v>250.4</v>
      </c>
      <c r="L22" s="133">
        <v>303</v>
      </c>
      <c r="M22" s="132">
        <f t="shared" si="0"/>
        <v>60.6</v>
      </c>
      <c r="N22" s="6"/>
      <c r="O22" s="7">
        <v>43374</v>
      </c>
      <c r="P22" s="4">
        <v>7</v>
      </c>
      <c r="Q22" s="9">
        <v>343.5</v>
      </c>
      <c r="R22" s="10">
        <v>475</v>
      </c>
      <c r="S22" s="132">
        <f t="shared" si="1"/>
        <v>67.857142857142861</v>
      </c>
      <c r="U22" s="7">
        <v>43374</v>
      </c>
      <c r="V22" s="4">
        <v>5</v>
      </c>
      <c r="W22" s="198">
        <f>0.3*425.2</f>
        <v>127.55999999999999</v>
      </c>
      <c r="X22" s="133">
        <f>0.25*496</f>
        <v>124</v>
      </c>
      <c r="Y22" s="132">
        <f t="shared" si="2"/>
        <v>24.8</v>
      </c>
      <c r="AA22" s="136"/>
      <c r="AB22" s="137"/>
    </row>
    <row r="23" spans="2:28" ht="18.75" customHeight="1" thickBot="1" x14ac:dyDescent="0.3">
      <c r="B23" s="6"/>
      <c r="C23" s="204">
        <v>43405</v>
      </c>
      <c r="D23" s="275">
        <v>5</v>
      </c>
      <c r="E23" s="221">
        <v>229.2</v>
      </c>
      <c r="F23" s="221">
        <v>408</v>
      </c>
      <c r="G23" s="274">
        <f t="shared" si="5"/>
        <v>81.599999999999994</v>
      </c>
      <c r="I23" s="7">
        <v>43405</v>
      </c>
      <c r="J23" s="4">
        <v>5</v>
      </c>
      <c r="K23" s="9">
        <v>256.05</v>
      </c>
      <c r="L23" s="133">
        <v>309</v>
      </c>
      <c r="M23" s="132">
        <f t="shared" ref="M23" si="6">L23/J23</f>
        <v>61.8</v>
      </c>
      <c r="N23" s="6"/>
      <c r="O23" s="7">
        <v>43405</v>
      </c>
      <c r="P23" s="4">
        <v>7</v>
      </c>
      <c r="Q23" s="9">
        <v>319.60000000000002</v>
      </c>
      <c r="R23" s="10">
        <v>442</v>
      </c>
      <c r="S23" s="132">
        <f t="shared" si="1"/>
        <v>63.142857142857146</v>
      </c>
      <c r="U23" s="7">
        <v>43405</v>
      </c>
      <c r="V23" s="4">
        <v>5</v>
      </c>
      <c r="W23" s="198">
        <f>0.3*396.1</f>
        <v>118.83</v>
      </c>
      <c r="X23" s="133">
        <f>0.3*456</f>
        <v>136.79999999999998</v>
      </c>
      <c r="Y23" s="132">
        <f t="shared" si="2"/>
        <v>27.359999999999996</v>
      </c>
      <c r="AA23" s="136"/>
      <c r="AB23" s="137"/>
    </row>
    <row r="24" spans="2:28" ht="18.75" customHeight="1" thickBot="1" x14ac:dyDescent="0.3">
      <c r="B24" s="6"/>
      <c r="C24" s="204">
        <v>43435</v>
      </c>
      <c r="D24" s="351" t="s">
        <v>116</v>
      </c>
      <c r="E24" s="352"/>
      <c r="F24" s="352"/>
      <c r="G24" s="353"/>
      <c r="I24" s="7">
        <v>43435</v>
      </c>
      <c r="J24" s="351" t="s">
        <v>116</v>
      </c>
      <c r="K24" s="352"/>
      <c r="L24" s="352"/>
      <c r="M24" s="353"/>
      <c r="N24" s="6"/>
      <c r="O24" s="7">
        <v>43435</v>
      </c>
      <c r="P24" s="354" t="s">
        <v>117</v>
      </c>
      <c r="Q24" s="355"/>
      <c r="R24" s="355"/>
      <c r="S24" s="356"/>
      <c r="U24" s="7">
        <v>43435</v>
      </c>
      <c r="V24" s="354" t="s">
        <v>117</v>
      </c>
      <c r="W24" s="355"/>
      <c r="X24" s="355"/>
      <c r="Y24" s="356"/>
      <c r="AA24" s="136"/>
      <c r="AB24" s="137"/>
    </row>
    <row r="25" spans="2:28" ht="15.75" thickBot="1" x14ac:dyDescent="0.3">
      <c r="B25" s="6"/>
      <c r="C25" s="140" t="s">
        <v>2</v>
      </c>
      <c r="D25" s="141">
        <f>AVERAGE(D13:D24)</f>
        <v>5</v>
      </c>
      <c r="E25" s="141">
        <f>AVERAGE(E13:E24)</f>
        <v>216.77181818181816</v>
      </c>
      <c r="F25" s="141">
        <f>AVERAGE(F13:F24)</f>
        <v>379.10909090909087</v>
      </c>
      <c r="G25" s="142">
        <f>AVERAGE(G13:G24)</f>
        <v>75.821818181818188</v>
      </c>
      <c r="H25" s="143"/>
      <c r="I25" s="144" t="s">
        <v>2</v>
      </c>
      <c r="J25" s="141">
        <f>AVERAGE(J13:J24)</f>
        <v>5</v>
      </c>
      <c r="K25" s="141">
        <f>AVERAGE(K13:K24)</f>
        <v>228.33</v>
      </c>
      <c r="L25" s="141">
        <f>AVERAGE(L13:L24)</f>
        <v>287.72727272727275</v>
      </c>
      <c r="M25" s="142">
        <f>AVERAGE(M13:M24)</f>
        <v>57.545454545454547</v>
      </c>
      <c r="N25" s="143"/>
      <c r="O25" s="232" t="s">
        <v>2</v>
      </c>
      <c r="P25" s="233">
        <f>AVERAGE(P13:P24)</f>
        <v>7</v>
      </c>
      <c r="Q25" s="233">
        <f>AVERAGE(Q13:Q24)</f>
        <v>317.70454545454544</v>
      </c>
      <c r="R25" s="233">
        <f>AVERAGE(R13:R24)</f>
        <v>451.63636363636363</v>
      </c>
      <c r="S25" s="234">
        <f>AVERAGE(S13:S24)</f>
        <v>64.51948051948051</v>
      </c>
      <c r="T25" s="143"/>
      <c r="U25" s="144" t="s">
        <v>2</v>
      </c>
      <c r="V25" s="141">
        <f>AVERAGE(V13:V24)</f>
        <v>5</v>
      </c>
      <c r="W25" s="141">
        <f>AVERAGE(W13:W24)</f>
        <v>126.756</v>
      </c>
      <c r="X25" s="141">
        <f>AVERAGE(X13:X24)</f>
        <v>140.09545454545454</v>
      </c>
      <c r="Y25" s="141">
        <f>AVERAGE(Y13:Y24)</f>
        <v>28.019090909090913</v>
      </c>
      <c r="AA25" s="136"/>
      <c r="AB25" s="137"/>
    </row>
    <row r="26" spans="2:28" ht="15" x14ac:dyDescent="0.25">
      <c r="B26" s="6"/>
      <c r="C26" s="145"/>
      <c r="D26" s="145"/>
      <c r="E26" s="146"/>
      <c r="F26" s="143"/>
      <c r="G26" s="147"/>
      <c r="I26" s="16"/>
      <c r="N26" s="6"/>
      <c r="O26" s="145"/>
      <c r="P26" s="145"/>
      <c r="Q26" s="146"/>
      <c r="R26" s="143"/>
      <c r="S26" s="147"/>
      <c r="U26" s="6" t="s">
        <v>95</v>
      </c>
      <c r="AA26" s="137"/>
      <c r="AB26" s="137"/>
    </row>
    <row r="27" spans="2:28" ht="15" x14ac:dyDescent="0.25">
      <c r="B27" s="6"/>
      <c r="C27" s="145"/>
      <c r="D27" s="145"/>
      <c r="E27" s="146"/>
      <c r="F27" s="143"/>
      <c r="G27" s="147"/>
      <c r="I27" s="16"/>
      <c r="N27" s="6"/>
      <c r="O27" s="145"/>
      <c r="P27" s="145"/>
      <c r="Q27" s="146"/>
      <c r="R27" s="143"/>
      <c r="S27" s="147"/>
      <c r="AA27" s="137"/>
      <c r="AB27" s="137"/>
    </row>
    <row r="28" spans="2:28" ht="15.75" thickBot="1" x14ac:dyDescent="0.3">
      <c r="B28" s="6"/>
      <c r="C28" s="148"/>
      <c r="D28" s="148"/>
      <c r="E28" s="148"/>
      <c r="F28" s="148"/>
      <c r="N28" s="6"/>
      <c r="O28" s="148"/>
      <c r="P28" s="148"/>
      <c r="Q28" s="148"/>
      <c r="R28" s="148"/>
      <c r="AA28" s="137"/>
      <c r="AB28" s="137"/>
    </row>
    <row r="29" spans="2:28" ht="16.5" thickBot="1" x14ac:dyDescent="0.3">
      <c r="B29" s="6"/>
      <c r="C29" s="362" t="s">
        <v>110</v>
      </c>
      <c r="D29" s="363"/>
      <c r="E29" s="363"/>
      <c r="F29" s="363"/>
      <c r="G29" s="364"/>
      <c r="I29" s="362" t="s">
        <v>110</v>
      </c>
      <c r="J29" s="363"/>
      <c r="K29" s="363"/>
      <c r="L29" s="363"/>
      <c r="M29" s="364"/>
      <c r="N29" s="6"/>
      <c r="O29" s="362" t="s">
        <v>110</v>
      </c>
      <c r="P29" s="363"/>
      <c r="Q29" s="363"/>
      <c r="R29" s="363"/>
      <c r="S29" s="364"/>
      <c r="U29" s="362" t="s">
        <v>110</v>
      </c>
      <c r="V29" s="363"/>
      <c r="W29" s="363"/>
      <c r="X29" s="363"/>
      <c r="Y29" s="364"/>
      <c r="AA29" s="137"/>
      <c r="AB29" s="137"/>
    </row>
    <row r="30" spans="2:28" ht="15" x14ac:dyDescent="0.25">
      <c r="B30" s="6"/>
      <c r="C30" s="365" t="s">
        <v>11</v>
      </c>
      <c r="D30" s="365"/>
      <c r="E30" s="365"/>
      <c r="F30" s="365"/>
      <c r="G30" s="365"/>
      <c r="I30" s="365" t="s">
        <v>12</v>
      </c>
      <c r="J30" s="365"/>
      <c r="K30" s="365"/>
      <c r="L30" s="365"/>
      <c r="M30" s="365"/>
      <c r="N30" s="6"/>
      <c r="O30" s="370" t="s">
        <v>13</v>
      </c>
      <c r="P30" s="370"/>
      <c r="Q30" s="370"/>
      <c r="R30" s="370"/>
      <c r="S30" s="370"/>
      <c r="U30" s="365" t="s">
        <v>14</v>
      </c>
      <c r="V30" s="365"/>
      <c r="W30" s="365"/>
      <c r="X30" s="365"/>
      <c r="Y30" s="365"/>
      <c r="AA30" s="137"/>
      <c r="AB30" s="137"/>
    </row>
    <row r="31" spans="2:28" ht="15.75" thickBot="1" x14ac:dyDescent="0.3">
      <c r="B31" s="6"/>
      <c r="C31" s="129"/>
      <c r="D31" s="129"/>
      <c r="E31" s="129"/>
      <c r="F31" s="129"/>
      <c r="G31" s="149"/>
      <c r="I31" s="129"/>
      <c r="J31" s="129"/>
      <c r="K31" s="129"/>
      <c r="L31" s="130"/>
      <c r="M31" s="130"/>
      <c r="N31" s="6"/>
      <c r="O31" s="129"/>
      <c r="P31" s="129"/>
      <c r="Q31" s="129"/>
      <c r="R31" s="129"/>
      <c r="S31" s="130"/>
      <c r="U31" s="129"/>
      <c r="V31" s="129"/>
      <c r="W31" s="129"/>
      <c r="X31" s="130"/>
      <c r="Y31" s="130"/>
      <c r="AA31" s="137"/>
      <c r="AB31" s="137"/>
    </row>
    <row r="32" spans="2:28" ht="15" x14ac:dyDescent="0.25">
      <c r="B32" s="6"/>
      <c r="C32" s="366" t="s">
        <v>1</v>
      </c>
      <c r="D32" s="358" t="s">
        <v>0</v>
      </c>
      <c r="E32" s="358" t="s">
        <v>7</v>
      </c>
      <c r="F32" s="368" t="s">
        <v>8</v>
      </c>
      <c r="G32" s="360" t="s">
        <v>9</v>
      </c>
      <c r="I32" s="366" t="s">
        <v>1</v>
      </c>
      <c r="J32" s="358" t="s">
        <v>0</v>
      </c>
      <c r="K32" s="358" t="s">
        <v>7</v>
      </c>
      <c r="L32" s="368" t="s">
        <v>8</v>
      </c>
      <c r="M32" s="360" t="s">
        <v>9</v>
      </c>
      <c r="N32" s="6"/>
      <c r="O32" s="366" t="s">
        <v>1</v>
      </c>
      <c r="P32" s="358" t="s">
        <v>0</v>
      </c>
      <c r="Q32" s="358" t="s">
        <v>7</v>
      </c>
      <c r="R32" s="368" t="s">
        <v>8</v>
      </c>
      <c r="S32" s="360" t="s">
        <v>9</v>
      </c>
      <c r="U32" s="366" t="s">
        <v>1</v>
      </c>
      <c r="V32" s="358" t="s">
        <v>0</v>
      </c>
      <c r="W32" s="358" t="s">
        <v>7</v>
      </c>
      <c r="X32" s="368" t="s">
        <v>8</v>
      </c>
      <c r="Y32" s="360" t="s">
        <v>9</v>
      </c>
      <c r="AA32" s="137"/>
      <c r="AB32" s="137"/>
    </row>
    <row r="33" spans="2:28" ht="89.25" customHeight="1" thickBot="1" x14ac:dyDescent="0.25">
      <c r="B33" s="6"/>
      <c r="C33" s="367"/>
      <c r="D33" s="359"/>
      <c r="E33" s="359"/>
      <c r="F33" s="369"/>
      <c r="G33" s="361"/>
      <c r="I33" s="367"/>
      <c r="J33" s="359"/>
      <c r="K33" s="359"/>
      <c r="L33" s="369"/>
      <c r="M33" s="361"/>
      <c r="N33" s="6"/>
      <c r="O33" s="367"/>
      <c r="P33" s="359"/>
      <c r="Q33" s="359"/>
      <c r="R33" s="369"/>
      <c r="S33" s="361"/>
      <c r="U33" s="367"/>
      <c r="V33" s="359"/>
      <c r="W33" s="359"/>
      <c r="X33" s="369"/>
      <c r="Y33" s="361"/>
      <c r="AA33" s="17"/>
    </row>
    <row r="34" spans="2:28" ht="15" x14ac:dyDescent="0.25">
      <c r="B34" s="6"/>
      <c r="C34" s="7">
        <v>43101</v>
      </c>
      <c r="D34" s="8">
        <v>5</v>
      </c>
      <c r="E34" s="131">
        <v>126.36</v>
      </c>
      <c r="F34" s="132">
        <v>381.67</v>
      </c>
      <c r="G34" s="162">
        <f>+F34/D34</f>
        <v>76.334000000000003</v>
      </c>
      <c r="I34" s="7">
        <v>43101</v>
      </c>
      <c r="J34" s="8">
        <v>5</v>
      </c>
      <c r="K34" s="131">
        <v>285.3</v>
      </c>
      <c r="L34" s="133">
        <v>366</v>
      </c>
      <c r="M34" s="132">
        <f t="shared" ref="M34:M44" si="7">+L34/J34</f>
        <v>73.2</v>
      </c>
      <c r="N34" s="6"/>
      <c r="O34" s="7">
        <v>43101</v>
      </c>
      <c r="P34" s="8">
        <v>6</v>
      </c>
      <c r="Q34" s="131">
        <v>197.51</v>
      </c>
      <c r="R34" s="150">
        <v>298</v>
      </c>
      <c r="S34" s="132">
        <f t="shared" ref="S34:S44" si="8">+R34/P34</f>
        <v>49.666666666666664</v>
      </c>
      <c r="U34" s="7">
        <v>43101</v>
      </c>
      <c r="V34" s="8">
        <v>3</v>
      </c>
      <c r="W34" s="9">
        <v>265.89999999999998</v>
      </c>
      <c r="X34" s="133">
        <v>361</v>
      </c>
      <c r="Y34" s="132">
        <f>W34/V34</f>
        <v>88.633333333333326</v>
      </c>
      <c r="AA34" s="136"/>
      <c r="AB34" s="137"/>
    </row>
    <row r="35" spans="2:28" ht="15" x14ac:dyDescent="0.25">
      <c r="B35" s="6" t="s">
        <v>94</v>
      </c>
      <c r="C35" s="7">
        <v>43132</v>
      </c>
      <c r="D35" s="4">
        <v>5</v>
      </c>
      <c r="E35" s="9">
        <v>187.43</v>
      </c>
      <c r="F35" s="9">
        <v>301</v>
      </c>
      <c r="G35" s="9">
        <f t="shared" ref="G35:G44" si="9">F35/D35</f>
        <v>60.2</v>
      </c>
      <c r="I35" s="7">
        <v>43132</v>
      </c>
      <c r="J35" s="4">
        <v>5</v>
      </c>
      <c r="K35" s="9">
        <v>252.5</v>
      </c>
      <c r="L35" s="133">
        <v>363.33</v>
      </c>
      <c r="M35" s="132">
        <f t="shared" si="7"/>
        <v>72.665999999999997</v>
      </c>
      <c r="N35" s="6"/>
      <c r="O35" s="7">
        <v>43132</v>
      </c>
      <c r="P35" s="4">
        <v>6</v>
      </c>
      <c r="Q35" s="9">
        <v>226.54</v>
      </c>
      <c r="R35" s="10">
        <v>342</v>
      </c>
      <c r="S35" s="132">
        <f t="shared" si="8"/>
        <v>57</v>
      </c>
      <c r="U35" s="7">
        <v>43132</v>
      </c>
      <c r="V35" s="4">
        <v>4</v>
      </c>
      <c r="W35" s="9">
        <v>320.60000000000002</v>
      </c>
      <c r="X35" s="133">
        <v>341</v>
      </c>
      <c r="Y35" s="132">
        <f>W35/V35</f>
        <v>80.150000000000006</v>
      </c>
      <c r="AA35" s="136"/>
      <c r="AB35" s="137"/>
    </row>
    <row r="36" spans="2:28" ht="15" x14ac:dyDescent="0.25">
      <c r="B36" s="6"/>
      <c r="C36" s="7">
        <v>43160</v>
      </c>
      <c r="D36" s="4">
        <v>5</v>
      </c>
      <c r="E36" s="187">
        <v>219.73</v>
      </c>
      <c r="F36" s="9">
        <v>363.5</v>
      </c>
      <c r="G36" s="9">
        <f t="shared" si="9"/>
        <v>72.7</v>
      </c>
      <c r="I36" s="7">
        <v>43160</v>
      </c>
      <c r="J36" s="4">
        <v>5</v>
      </c>
      <c r="K36" s="9">
        <v>372.1</v>
      </c>
      <c r="L36" s="133">
        <v>348.17</v>
      </c>
      <c r="M36" s="132">
        <f t="shared" si="7"/>
        <v>69.634</v>
      </c>
      <c r="N36" s="6"/>
      <c r="O36" s="7">
        <v>43160</v>
      </c>
      <c r="P36" s="4">
        <v>6</v>
      </c>
      <c r="Q36" s="243">
        <v>215.51</v>
      </c>
      <c r="R36" s="10">
        <v>308</v>
      </c>
      <c r="S36" s="132">
        <f t="shared" si="8"/>
        <v>51.333333333333336</v>
      </c>
      <c r="U36" s="7">
        <v>43160</v>
      </c>
      <c r="V36" s="4">
        <v>4</v>
      </c>
      <c r="W36" s="9">
        <v>341.8</v>
      </c>
      <c r="X36" s="133">
        <v>359</v>
      </c>
      <c r="Y36" s="132">
        <f>W36/V36</f>
        <v>85.45</v>
      </c>
      <c r="AA36" s="136"/>
      <c r="AB36" s="137"/>
    </row>
    <row r="37" spans="2:28" ht="15" x14ac:dyDescent="0.25">
      <c r="B37" s="6"/>
      <c r="C37" s="7">
        <v>43191</v>
      </c>
      <c r="D37" s="4">
        <v>5</v>
      </c>
      <c r="E37" s="9">
        <f>0.78*363.1</f>
        <v>283.21800000000002</v>
      </c>
      <c r="F37" s="9">
        <f>0.78*470</f>
        <v>366.6</v>
      </c>
      <c r="G37" s="9">
        <f t="shared" si="9"/>
        <v>73.320000000000007</v>
      </c>
      <c r="I37" s="7">
        <v>43191</v>
      </c>
      <c r="J37" s="4">
        <v>5</v>
      </c>
      <c r="K37" s="9">
        <v>327</v>
      </c>
      <c r="L37" s="133">
        <v>333</v>
      </c>
      <c r="M37" s="132">
        <f t="shared" si="7"/>
        <v>66.599999999999994</v>
      </c>
      <c r="N37" s="6"/>
      <c r="O37" s="7">
        <v>43191</v>
      </c>
      <c r="P37" s="4">
        <v>6</v>
      </c>
      <c r="Q37" s="9">
        <v>215.51</v>
      </c>
      <c r="R37" s="10">
        <v>308</v>
      </c>
      <c r="S37" s="132">
        <f t="shared" si="8"/>
        <v>51.333333333333336</v>
      </c>
      <c r="U37" s="7">
        <v>43191</v>
      </c>
      <c r="V37" s="4">
        <v>4</v>
      </c>
      <c r="W37" s="9">
        <v>302.39999999999998</v>
      </c>
      <c r="X37" s="133">
        <v>313</v>
      </c>
      <c r="Y37" s="132">
        <f t="shared" ref="Y37:Y42" si="10">W37/V37</f>
        <v>75.599999999999994</v>
      </c>
      <c r="AA37" s="136"/>
      <c r="AB37" s="137"/>
    </row>
    <row r="38" spans="2:28" ht="15" x14ac:dyDescent="0.25">
      <c r="B38" s="6" t="s">
        <v>94</v>
      </c>
      <c r="C38" s="7">
        <v>43221</v>
      </c>
      <c r="D38" s="4">
        <v>5</v>
      </c>
      <c r="E38" s="9">
        <f>0.78*401.3</f>
        <v>313.01400000000001</v>
      </c>
      <c r="F38" s="9">
        <f>0.78*525</f>
        <v>409.5</v>
      </c>
      <c r="G38" s="9">
        <f t="shared" si="9"/>
        <v>81.900000000000006</v>
      </c>
      <c r="I38" s="7">
        <v>43221</v>
      </c>
      <c r="J38" s="4">
        <v>5</v>
      </c>
      <c r="K38" s="9">
        <v>276.89999999999998</v>
      </c>
      <c r="L38" s="133">
        <v>299</v>
      </c>
      <c r="M38" s="132">
        <f t="shared" si="7"/>
        <v>59.8</v>
      </c>
      <c r="N38" s="6"/>
      <c r="O38" s="7">
        <v>43221</v>
      </c>
      <c r="P38" s="4">
        <v>6</v>
      </c>
      <c r="Q38" s="9">
        <v>209.54</v>
      </c>
      <c r="R38" s="10">
        <v>314</v>
      </c>
      <c r="S38" s="132">
        <f t="shared" si="8"/>
        <v>52.333333333333336</v>
      </c>
      <c r="U38" s="7">
        <v>43221</v>
      </c>
      <c r="V38" s="4">
        <v>4</v>
      </c>
      <c r="W38" s="9">
        <v>287.89999999999998</v>
      </c>
      <c r="X38" s="133">
        <v>306</v>
      </c>
      <c r="Y38" s="132">
        <f t="shared" si="10"/>
        <v>71.974999999999994</v>
      </c>
      <c r="AA38" s="136"/>
    </row>
    <row r="39" spans="2:28" ht="15" x14ac:dyDescent="0.25">
      <c r="B39" s="6"/>
      <c r="C39" s="7">
        <v>43252</v>
      </c>
      <c r="D39" s="4">
        <v>5</v>
      </c>
      <c r="E39" s="9">
        <f>0.78*408.5</f>
        <v>318.63</v>
      </c>
      <c r="F39" s="9">
        <f>0.78*529</f>
        <v>412.62</v>
      </c>
      <c r="G39" s="9">
        <f t="shared" si="9"/>
        <v>82.524000000000001</v>
      </c>
      <c r="I39" s="7">
        <v>43252</v>
      </c>
      <c r="J39" s="4">
        <v>5</v>
      </c>
      <c r="K39" s="9">
        <v>265.3</v>
      </c>
      <c r="L39" s="133">
        <v>287</v>
      </c>
      <c r="M39" s="132">
        <f t="shared" si="7"/>
        <v>57.4</v>
      </c>
      <c r="N39" s="6"/>
      <c r="O39" s="7">
        <v>43252</v>
      </c>
      <c r="P39" s="4">
        <v>6</v>
      </c>
      <c r="Q39" s="9">
        <v>251.99</v>
      </c>
      <c r="R39" s="10">
        <v>390</v>
      </c>
      <c r="S39" s="132">
        <f t="shared" si="8"/>
        <v>65</v>
      </c>
      <c r="U39" s="7">
        <v>43252</v>
      </c>
      <c r="V39" s="4">
        <v>4</v>
      </c>
      <c r="W39" s="9">
        <v>287.89999999999998</v>
      </c>
      <c r="X39" s="133">
        <v>306</v>
      </c>
      <c r="Y39" s="132">
        <f t="shared" si="10"/>
        <v>71.974999999999994</v>
      </c>
      <c r="AA39" s="136"/>
    </row>
    <row r="40" spans="2:28" ht="15" x14ac:dyDescent="0.25">
      <c r="B40" s="6"/>
      <c r="C40" s="7">
        <v>43282</v>
      </c>
      <c r="D40" s="4">
        <v>5</v>
      </c>
      <c r="E40" s="9">
        <f>0.78*469.2</f>
        <v>365.976</v>
      </c>
      <c r="F40" s="9">
        <f>0.78*420.67</f>
        <v>328.12260000000003</v>
      </c>
      <c r="G40" s="9">
        <f t="shared" si="9"/>
        <v>65.624520000000004</v>
      </c>
      <c r="I40" s="7">
        <v>43282</v>
      </c>
      <c r="J40" s="4">
        <v>5</v>
      </c>
      <c r="K40" s="9">
        <v>306.2</v>
      </c>
      <c r="L40" s="133">
        <v>301.5</v>
      </c>
      <c r="M40" s="132">
        <f t="shared" si="7"/>
        <v>60.3</v>
      </c>
      <c r="N40" s="6"/>
      <c r="O40" s="7">
        <v>43282</v>
      </c>
      <c r="P40" s="4">
        <v>6</v>
      </c>
      <c r="Q40" s="9">
        <v>290.85000000000002</v>
      </c>
      <c r="R40" s="10">
        <v>375</v>
      </c>
      <c r="S40" s="132">
        <f t="shared" si="8"/>
        <v>62.5</v>
      </c>
      <c r="U40" s="7">
        <v>43282</v>
      </c>
      <c r="V40" s="4">
        <v>4</v>
      </c>
      <c r="W40" s="152">
        <v>319.5</v>
      </c>
      <c r="X40" s="152">
        <v>331</v>
      </c>
      <c r="Y40" s="132">
        <f t="shared" si="10"/>
        <v>79.875</v>
      </c>
      <c r="AA40" s="136"/>
    </row>
    <row r="41" spans="2:28" ht="15" x14ac:dyDescent="0.25">
      <c r="B41" s="6"/>
      <c r="C41" s="7">
        <v>43313</v>
      </c>
      <c r="D41" s="4">
        <v>5</v>
      </c>
      <c r="E41" s="9">
        <f>0.78*457.1</f>
        <v>356.53800000000001</v>
      </c>
      <c r="F41" s="9">
        <f>0.78*465</f>
        <v>362.7</v>
      </c>
      <c r="G41" s="9">
        <f t="shared" si="9"/>
        <v>72.539999999999992</v>
      </c>
      <c r="I41" s="7">
        <v>43313</v>
      </c>
      <c r="J41" s="4">
        <v>5</v>
      </c>
      <c r="K41" s="9">
        <v>276</v>
      </c>
      <c r="L41" s="133">
        <v>296.33</v>
      </c>
      <c r="M41" s="132">
        <f t="shared" si="7"/>
        <v>59.265999999999998</v>
      </c>
      <c r="N41" s="6"/>
      <c r="O41" s="7">
        <v>43313</v>
      </c>
      <c r="P41" s="11">
        <v>6</v>
      </c>
      <c r="Q41" s="9">
        <v>245.95</v>
      </c>
      <c r="R41" s="10">
        <v>308</v>
      </c>
      <c r="S41" s="132">
        <f t="shared" si="8"/>
        <v>51.333333333333336</v>
      </c>
      <c r="U41" s="7">
        <v>43313</v>
      </c>
      <c r="V41" s="11">
        <v>4</v>
      </c>
      <c r="W41" s="9">
        <v>320.7</v>
      </c>
      <c r="X41" s="151">
        <v>331.83</v>
      </c>
      <c r="Y41" s="132">
        <f t="shared" si="10"/>
        <v>80.174999999999997</v>
      </c>
      <c r="AA41" s="136"/>
    </row>
    <row r="42" spans="2:28" ht="15" x14ac:dyDescent="0.25">
      <c r="B42" s="6"/>
      <c r="C42" s="7">
        <v>43344</v>
      </c>
      <c r="D42" s="4">
        <v>5</v>
      </c>
      <c r="E42" s="9">
        <f>0.78*457.1</f>
        <v>356.53800000000001</v>
      </c>
      <c r="F42" s="9">
        <f>0.78*465</f>
        <v>362.7</v>
      </c>
      <c r="G42" s="9">
        <f t="shared" si="9"/>
        <v>72.539999999999992</v>
      </c>
      <c r="I42" s="7">
        <v>43344</v>
      </c>
      <c r="J42" s="4">
        <v>5</v>
      </c>
      <c r="K42" s="9">
        <v>249.8</v>
      </c>
      <c r="L42" s="133">
        <v>301.67</v>
      </c>
      <c r="M42" s="132">
        <f t="shared" si="7"/>
        <v>60.334000000000003</v>
      </c>
      <c r="N42" s="6"/>
      <c r="O42" s="7">
        <v>43344</v>
      </c>
      <c r="P42" s="4">
        <v>6</v>
      </c>
      <c r="Q42" s="9">
        <v>520.85</v>
      </c>
      <c r="R42" s="10">
        <v>349</v>
      </c>
      <c r="S42" s="132">
        <f t="shared" si="8"/>
        <v>58.166666666666664</v>
      </c>
      <c r="U42" s="7">
        <v>43344</v>
      </c>
      <c r="V42" s="4">
        <v>4</v>
      </c>
      <c r="W42" s="9">
        <v>378.2</v>
      </c>
      <c r="X42" s="133">
        <v>408</v>
      </c>
      <c r="Y42" s="132">
        <f t="shared" si="10"/>
        <v>94.55</v>
      </c>
      <c r="AA42" s="136"/>
    </row>
    <row r="43" spans="2:28" ht="15" x14ac:dyDescent="0.25">
      <c r="B43" s="6"/>
      <c r="C43" s="7">
        <v>43374</v>
      </c>
      <c r="D43" s="4">
        <v>5</v>
      </c>
      <c r="E43" s="9">
        <f>0.78*451.8</f>
        <v>352.404</v>
      </c>
      <c r="F43" s="9">
        <f>0.78*585</f>
        <v>456.3</v>
      </c>
      <c r="G43" s="9">
        <f t="shared" si="9"/>
        <v>91.26</v>
      </c>
      <c r="I43" s="7">
        <v>43374</v>
      </c>
      <c r="J43" s="4">
        <v>5</v>
      </c>
      <c r="K43" s="9">
        <v>300.60000000000002</v>
      </c>
      <c r="L43" s="133">
        <v>313</v>
      </c>
      <c r="M43" s="132">
        <f t="shared" si="7"/>
        <v>62.6</v>
      </c>
      <c r="N43" s="6"/>
      <c r="O43" s="7">
        <v>43374</v>
      </c>
      <c r="P43" s="4">
        <v>6</v>
      </c>
      <c r="Q43" s="9">
        <v>259.05</v>
      </c>
      <c r="R43" s="10">
        <v>328</v>
      </c>
      <c r="S43" s="132">
        <f t="shared" si="8"/>
        <v>54.666666666666664</v>
      </c>
      <c r="U43" s="7">
        <v>43374</v>
      </c>
      <c r="V43" s="4">
        <v>4</v>
      </c>
      <c r="W43" s="9">
        <v>302.39999999999998</v>
      </c>
      <c r="X43" s="133">
        <v>313</v>
      </c>
      <c r="Y43" s="132">
        <f t="shared" ref="Y43:Y44" si="11">W43/V43</f>
        <v>75.599999999999994</v>
      </c>
      <c r="AA43" s="136"/>
    </row>
    <row r="44" spans="2:28" ht="15" x14ac:dyDescent="0.25">
      <c r="B44" s="6"/>
      <c r="C44" s="7">
        <v>43405</v>
      </c>
      <c r="D44" s="4">
        <v>5</v>
      </c>
      <c r="E44" s="9">
        <f>0.78*482.5</f>
        <v>376.35</v>
      </c>
      <c r="F44" s="9">
        <f>0.75*627</f>
        <v>470.25</v>
      </c>
      <c r="G44" s="9">
        <f t="shared" si="9"/>
        <v>94.05</v>
      </c>
      <c r="I44" s="7">
        <v>43405</v>
      </c>
      <c r="J44" s="4">
        <v>5</v>
      </c>
      <c r="K44" s="9">
        <v>271.7</v>
      </c>
      <c r="L44" s="133">
        <v>286</v>
      </c>
      <c r="M44" s="132">
        <f t="shared" si="7"/>
        <v>57.2</v>
      </c>
      <c r="N44" s="6"/>
      <c r="O44" s="7">
        <v>43405</v>
      </c>
      <c r="P44" s="4">
        <v>6</v>
      </c>
      <c r="Q44" s="9">
        <v>250.6</v>
      </c>
      <c r="R44" s="10">
        <v>313</v>
      </c>
      <c r="S44" s="132">
        <f t="shared" si="8"/>
        <v>52.166666666666664</v>
      </c>
      <c r="U44" s="7">
        <v>43405</v>
      </c>
      <c r="V44" s="4">
        <v>4</v>
      </c>
      <c r="W44" s="9">
        <v>287.89999999999998</v>
      </c>
      <c r="X44" s="133">
        <v>306</v>
      </c>
      <c r="Y44" s="132">
        <f t="shared" si="11"/>
        <v>71.974999999999994</v>
      </c>
      <c r="AA44" s="136"/>
    </row>
    <row r="45" spans="2:28" ht="15.75" thickBot="1" x14ac:dyDescent="0.3">
      <c r="B45" s="6"/>
      <c r="C45" s="7">
        <v>43435</v>
      </c>
      <c r="D45" s="351" t="s">
        <v>117</v>
      </c>
      <c r="E45" s="352"/>
      <c r="F45" s="352"/>
      <c r="G45" s="357"/>
      <c r="I45" s="7">
        <v>43435</v>
      </c>
      <c r="J45" s="351" t="s">
        <v>117</v>
      </c>
      <c r="K45" s="352"/>
      <c r="L45" s="352"/>
      <c r="M45" s="357"/>
      <c r="N45" s="6"/>
      <c r="O45" s="7">
        <v>43435</v>
      </c>
      <c r="P45" s="351" t="s">
        <v>117</v>
      </c>
      <c r="Q45" s="352"/>
      <c r="R45" s="352"/>
      <c r="S45" s="357"/>
      <c r="U45" s="7">
        <v>43435</v>
      </c>
      <c r="V45" s="351" t="s">
        <v>116</v>
      </c>
      <c r="W45" s="352"/>
      <c r="X45" s="352"/>
      <c r="Y45" s="353"/>
      <c r="AA45" s="136"/>
    </row>
    <row r="46" spans="2:28" ht="12.75" thickBot="1" x14ac:dyDescent="0.25">
      <c r="B46" s="6"/>
      <c r="C46" s="154" t="s">
        <v>2</v>
      </c>
      <c r="D46" s="141">
        <f>AVERAGE(D34:D45)</f>
        <v>5</v>
      </c>
      <c r="E46" s="141">
        <f>AVERAGE(E34:E45)</f>
        <v>296.01709090909094</v>
      </c>
      <c r="F46" s="155">
        <f>AVERAGE(F34:F45)</f>
        <v>383.17841818181819</v>
      </c>
      <c r="G46" s="142">
        <f>AVERAGE(G34:G45)</f>
        <v>76.635683636363623</v>
      </c>
      <c r="H46" s="156"/>
      <c r="I46" s="157" t="s">
        <v>2</v>
      </c>
      <c r="J46" s="158">
        <f>AVERAGE(J34:J45)</f>
        <v>5</v>
      </c>
      <c r="K46" s="141">
        <f>AVERAGE(K34:K45)</f>
        <v>289.40000000000003</v>
      </c>
      <c r="L46" s="155">
        <f>AVERAGE(L34:L45)</f>
        <v>317.72727272727275</v>
      </c>
      <c r="M46" s="157">
        <f>AVERAGE(M34:M45)</f>
        <v>63.545454545454554</v>
      </c>
      <c r="N46" s="156"/>
      <c r="O46" s="157" t="s">
        <v>2</v>
      </c>
      <c r="P46" s="242">
        <f>AVERAGE(P34:P45)</f>
        <v>6</v>
      </c>
      <c r="Q46" s="233">
        <f>AVERAGE(Q34:Q45)</f>
        <v>262.17272727272729</v>
      </c>
      <c r="R46" s="285">
        <f>AVERAGE(R34:R45)</f>
        <v>330.27272727272725</v>
      </c>
      <c r="S46" s="286">
        <f>AVERAGE(S34:S45)</f>
        <v>55.045454545454547</v>
      </c>
      <c r="T46" s="156"/>
      <c r="U46" s="157" t="s">
        <v>2</v>
      </c>
      <c r="V46" s="158">
        <f>AVERAGE(V34:V45)</f>
        <v>3.9090909090909092</v>
      </c>
      <c r="W46" s="141">
        <f>AVERAGE(W34:W45)</f>
        <v>310.47272727272724</v>
      </c>
      <c r="X46" s="141">
        <f>AVERAGE(X34:X45)</f>
        <v>334.16636363636366</v>
      </c>
      <c r="Y46" s="142">
        <f>AVERAGE(Y34:Y45)</f>
        <v>79.632575757575765</v>
      </c>
      <c r="AA46" s="159"/>
    </row>
    <row r="47" spans="2:28" x14ac:dyDescent="0.2">
      <c r="B47" s="6"/>
      <c r="C47" s="160" t="s">
        <v>114</v>
      </c>
      <c r="D47" s="161"/>
      <c r="E47" s="161"/>
      <c r="F47" s="161"/>
      <c r="N47" s="6"/>
      <c r="O47" s="371"/>
      <c r="P47" s="371"/>
      <c r="Q47" s="371"/>
      <c r="R47" s="371"/>
      <c r="S47" s="371"/>
    </row>
    <row r="48" spans="2:28" ht="16.5" thickBot="1" x14ac:dyDescent="0.3">
      <c r="B48" s="6"/>
      <c r="N48" s="6"/>
      <c r="O48" s="17"/>
      <c r="Q48" s="372"/>
      <c r="R48" s="372"/>
      <c r="S48" s="372"/>
      <c r="T48" s="372"/>
      <c r="U48" s="372"/>
    </row>
    <row r="49" spans="2:27" ht="16.5" thickBot="1" x14ac:dyDescent="0.3">
      <c r="B49" s="6"/>
      <c r="C49" s="362" t="s">
        <v>110</v>
      </c>
      <c r="D49" s="363"/>
      <c r="E49" s="363"/>
      <c r="F49" s="363"/>
      <c r="G49" s="364"/>
      <c r="I49" s="362" t="s">
        <v>110</v>
      </c>
      <c r="J49" s="363"/>
      <c r="K49" s="363"/>
      <c r="L49" s="363"/>
      <c r="M49" s="364"/>
      <c r="N49" s="6"/>
      <c r="O49" s="362" t="s">
        <v>110</v>
      </c>
      <c r="P49" s="363"/>
      <c r="Q49" s="363"/>
      <c r="R49" s="363"/>
      <c r="S49" s="364"/>
      <c r="U49" s="362" t="s">
        <v>110</v>
      </c>
      <c r="V49" s="363"/>
      <c r="W49" s="363"/>
      <c r="X49" s="363"/>
      <c r="Y49" s="364"/>
    </row>
    <row r="50" spans="2:27" ht="15" x14ac:dyDescent="0.25">
      <c r="B50" s="6"/>
      <c r="C50" s="365" t="s">
        <v>15</v>
      </c>
      <c r="D50" s="365"/>
      <c r="E50" s="365"/>
      <c r="F50" s="365"/>
      <c r="G50" s="365"/>
      <c r="I50" s="365" t="s">
        <v>16</v>
      </c>
      <c r="J50" s="365"/>
      <c r="K50" s="365"/>
      <c r="L50" s="365"/>
      <c r="M50" s="365"/>
      <c r="N50" s="6"/>
      <c r="O50" s="365" t="s">
        <v>17</v>
      </c>
      <c r="P50" s="365"/>
      <c r="Q50" s="365"/>
      <c r="R50" s="365"/>
      <c r="S50" s="365"/>
      <c r="U50" s="365" t="s">
        <v>18</v>
      </c>
      <c r="V50" s="365"/>
      <c r="W50" s="365"/>
      <c r="X50" s="365"/>
      <c r="Y50" s="365"/>
    </row>
    <row r="51" spans="2:27" ht="12.75" thickBot="1" x14ac:dyDescent="0.25">
      <c r="B51" s="6"/>
      <c r="C51" s="129"/>
      <c r="D51" s="129"/>
      <c r="E51" s="129"/>
      <c r="F51" s="130"/>
      <c r="G51" s="130"/>
      <c r="I51" s="129"/>
      <c r="J51" s="129"/>
      <c r="K51" s="129"/>
      <c r="L51" s="129"/>
      <c r="M51" s="130"/>
      <c r="N51" s="6"/>
      <c r="O51" s="129"/>
      <c r="P51" s="129"/>
      <c r="Q51" s="129"/>
      <c r="R51" s="130"/>
      <c r="S51" s="130"/>
      <c r="U51" s="129"/>
      <c r="V51" s="129"/>
      <c r="W51" s="129"/>
      <c r="X51" s="129"/>
      <c r="Y51" s="130"/>
    </row>
    <row r="52" spans="2:27" x14ac:dyDescent="0.2">
      <c r="B52" s="6"/>
      <c r="C52" s="366" t="s">
        <v>1</v>
      </c>
      <c r="D52" s="358" t="s">
        <v>0</v>
      </c>
      <c r="E52" s="358" t="s">
        <v>7</v>
      </c>
      <c r="F52" s="368" t="s">
        <v>8</v>
      </c>
      <c r="G52" s="360" t="s">
        <v>9</v>
      </c>
      <c r="I52" s="366" t="s">
        <v>1</v>
      </c>
      <c r="J52" s="358" t="s">
        <v>0</v>
      </c>
      <c r="K52" s="358" t="s">
        <v>7</v>
      </c>
      <c r="L52" s="368" t="s">
        <v>8</v>
      </c>
      <c r="M52" s="360" t="s">
        <v>9</v>
      </c>
      <c r="N52" s="6"/>
      <c r="O52" s="366" t="s">
        <v>1</v>
      </c>
      <c r="P52" s="358" t="s">
        <v>0</v>
      </c>
      <c r="Q52" s="358" t="s">
        <v>7</v>
      </c>
      <c r="R52" s="368" t="s">
        <v>8</v>
      </c>
      <c r="S52" s="360" t="s">
        <v>9</v>
      </c>
      <c r="U52" s="366" t="s">
        <v>1</v>
      </c>
      <c r="V52" s="358" t="s">
        <v>0</v>
      </c>
      <c r="W52" s="358" t="s">
        <v>7</v>
      </c>
      <c r="X52" s="368" t="s">
        <v>8</v>
      </c>
      <c r="Y52" s="360" t="s">
        <v>9</v>
      </c>
    </row>
    <row r="53" spans="2:27" ht="79.5" customHeight="1" thickBot="1" x14ac:dyDescent="0.25">
      <c r="B53" s="6"/>
      <c r="C53" s="367"/>
      <c r="D53" s="359"/>
      <c r="E53" s="359"/>
      <c r="F53" s="369"/>
      <c r="G53" s="361"/>
      <c r="I53" s="367"/>
      <c r="J53" s="359"/>
      <c r="K53" s="359"/>
      <c r="L53" s="369"/>
      <c r="M53" s="361"/>
      <c r="N53" s="6"/>
      <c r="O53" s="367"/>
      <c r="P53" s="359"/>
      <c r="Q53" s="359"/>
      <c r="R53" s="369"/>
      <c r="S53" s="361"/>
      <c r="U53" s="367"/>
      <c r="V53" s="359"/>
      <c r="W53" s="359"/>
      <c r="X53" s="369"/>
      <c r="Y53" s="361"/>
    </row>
    <row r="54" spans="2:27" x14ac:dyDescent="0.2">
      <c r="B54" s="6"/>
      <c r="C54" s="7">
        <v>43101</v>
      </c>
      <c r="D54" s="8">
        <v>5</v>
      </c>
      <c r="E54" s="150">
        <v>445</v>
      </c>
      <c r="F54" s="134">
        <v>283</v>
      </c>
      <c r="G54" s="162">
        <f t="shared" ref="G54:G64" si="12">+F54/D54</f>
        <v>56.6</v>
      </c>
      <c r="I54" s="7">
        <v>43101</v>
      </c>
      <c r="J54" s="8">
        <v>5</v>
      </c>
      <c r="K54" s="150">
        <v>206.6</v>
      </c>
      <c r="L54" s="150">
        <v>268</v>
      </c>
      <c r="M54" s="162">
        <f t="shared" ref="M54:M65" si="13">+L54/J54</f>
        <v>53.6</v>
      </c>
      <c r="N54" s="6"/>
      <c r="O54" s="7">
        <v>43101</v>
      </c>
      <c r="P54" s="8">
        <v>6</v>
      </c>
      <c r="Q54" s="150">
        <v>774.9</v>
      </c>
      <c r="R54" s="134">
        <v>640</v>
      </c>
      <c r="S54" s="162">
        <f t="shared" ref="S54:S61" si="14">+R54/P54</f>
        <v>106.66666666666667</v>
      </c>
      <c r="U54" s="7">
        <v>43101</v>
      </c>
      <c r="V54" s="8">
        <v>6</v>
      </c>
      <c r="W54" s="150">
        <v>132.5</v>
      </c>
      <c r="X54" s="150">
        <v>187</v>
      </c>
      <c r="Y54" s="162">
        <f t="shared" ref="Y54:Y63" si="15">+X54/V54</f>
        <v>31.166666666666668</v>
      </c>
      <c r="AA54" s="159"/>
    </row>
    <row r="55" spans="2:27" x14ac:dyDescent="0.2">
      <c r="B55" s="6" t="s">
        <v>94</v>
      </c>
      <c r="C55" s="7">
        <v>43132</v>
      </c>
      <c r="D55" s="4">
        <v>5</v>
      </c>
      <c r="E55" s="10">
        <v>233.1</v>
      </c>
      <c r="F55" s="134">
        <v>340.67</v>
      </c>
      <c r="G55" s="162">
        <f t="shared" si="12"/>
        <v>68.134</v>
      </c>
      <c r="I55" s="7">
        <v>43132</v>
      </c>
      <c r="J55" s="4">
        <v>5</v>
      </c>
      <c r="K55" s="10">
        <v>163.19999999999999</v>
      </c>
      <c r="L55" s="10">
        <v>261</v>
      </c>
      <c r="M55" s="162">
        <f t="shared" si="13"/>
        <v>52.2</v>
      </c>
      <c r="N55" s="6"/>
      <c r="O55" s="7">
        <v>43132</v>
      </c>
      <c r="P55" s="4">
        <v>6</v>
      </c>
      <c r="Q55" s="10">
        <v>775.6</v>
      </c>
      <c r="R55" s="134">
        <v>982</v>
      </c>
      <c r="S55" s="162">
        <f t="shared" si="14"/>
        <v>163.66666666666666</v>
      </c>
      <c r="U55" s="7">
        <v>43132</v>
      </c>
      <c r="V55" s="4">
        <v>6</v>
      </c>
      <c r="W55" s="10">
        <v>251.7</v>
      </c>
      <c r="X55" s="10">
        <v>297</v>
      </c>
      <c r="Y55" s="162">
        <f t="shared" si="15"/>
        <v>49.5</v>
      </c>
      <c r="AA55" s="159"/>
    </row>
    <row r="56" spans="2:27" x14ac:dyDescent="0.2">
      <c r="B56" s="6"/>
      <c r="C56" s="7">
        <v>43160</v>
      </c>
      <c r="D56" s="4">
        <v>5</v>
      </c>
      <c r="E56" s="10">
        <v>262.7</v>
      </c>
      <c r="F56" s="134">
        <v>303</v>
      </c>
      <c r="G56" s="162">
        <f t="shared" si="12"/>
        <v>60.6</v>
      </c>
      <c r="I56" s="7">
        <v>43160</v>
      </c>
      <c r="J56" s="4">
        <v>5</v>
      </c>
      <c r="K56" s="10">
        <v>193.55</v>
      </c>
      <c r="L56" s="10">
        <v>243</v>
      </c>
      <c r="M56" s="162">
        <f t="shared" si="13"/>
        <v>48.6</v>
      </c>
      <c r="N56" s="6"/>
      <c r="O56" s="7">
        <v>43160</v>
      </c>
      <c r="P56" s="4">
        <v>6</v>
      </c>
      <c r="Q56" s="10">
        <v>920.2</v>
      </c>
      <c r="R56" s="134">
        <v>1124</v>
      </c>
      <c r="S56" s="162">
        <f t="shared" si="14"/>
        <v>187.33333333333334</v>
      </c>
      <c r="U56" s="7">
        <v>43160</v>
      </c>
      <c r="V56" s="4">
        <v>6</v>
      </c>
      <c r="W56" s="10">
        <v>216.14</v>
      </c>
      <c r="X56" s="10">
        <v>297</v>
      </c>
      <c r="Y56" s="162">
        <f t="shared" si="15"/>
        <v>49.5</v>
      </c>
      <c r="AA56" s="159"/>
    </row>
    <row r="57" spans="2:27" x14ac:dyDescent="0.2">
      <c r="B57" s="6"/>
      <c r="C57" s="7">
        <v>43191</v>
      </c>
      <c r="D57" s="4">
        <v>5</v>
      </c>
      <c r="E57" s="10">
        <v>249</v>
      </c>
      <c r="F57" s="134">
        <v>296</v>
      </c>
      <c r="G57" s="162">
        <f t="shared" si="12"/>
        <v>59.2</v>
      </c>
      <c r="I57" s="7">
        <v>43191</v>
      </c>
      <c r="J57" s="4">
        <v>5</v>
      </c>
      <c r="K57" s="10">
        <v>228.3</v>
      </c>
      <c r="L57" s="19">
        <v>279</v>
      </c>
      <c r="M57" s="162">
        <f t="shared" si="13"/>
        <v>55.8</v>
      </c>
      <c r="N57" s="6"/>
      <c r="O57" s="7">
        <v>43191</v>
      </c>
      <c r="P57" s="4">
        <v>6</v>
      </c>
      <c r="Q57" s="10">
        <v>678.2</v>
      </c>
      <c r="R57" s="134">
        <v>833</v>
      </c>
      <c r="S57" s="162">
        <f t="shared" si="14"/>
        <v>138.83333333333334</v>
      </c>
      <c r="U57" s="7">
        <v>43191</v>
      </c>
      <c r="V57" s="4">
        <v>6</v>
      </c>
      <c r="W57" s="10">
        <v>245.7</v>
      </c>
      <c r="X57" s="10">
        <v>285</v>
      </c>
      <c r="Y57" s="162">
        <f t="shared" si="15"/>
        <v>47.5</v>
      </c>
      <c r="AA57" s="159"/>
    </row>
    <row r="58" spans="2:27" x14ac:dyDescent="0.2">
      <c r="B58" s="6" t="s">
        <v>94</v>
      </c>
      <c r="C58" s="7">
        <v>43221</v>
      </c>
      <c r="D58" s="4">
        <v>5</v>
      </c>
      <c r="E58" s="10">
        <v>289.60000000000002</v>
      </c>
      <c r="F58" s="134">
        <v>346</v>
      </c>
      <c r="G58" s="162">
        <f t="shared" si="12"/>
        <v>69.2</v>
      </c>
      <c r="I58" s="7">
        <v>43221</v>
      </c>
      <c r="J58" s="4">
        <v>5</v>
      </c>
      <c r="K58" s="10">
        <v>212.25</v>
      </c>
      <c r="L58" s="10">
        <v>265</v>
      </c>
      <c r="M58" s="162">
        <f t="shared" si="13"/>
        <v>53</v>
      </c>
      <c r="N58" s="6"/>
      <c r="O58" s="7">
        <v>43221</v>
      </c>
      <c r="P58" s="4">
        <v>6</v>
      </c>
      <c r="Q58" s="10">
        <v>716.1</v>
      </c>
      <c r="R58" s="134">
        <v>895</v>
      </c>
      <c r="S58" s="162">
        <f t="shared" si="14"/>
        <v>149.16666666666666</v>
      </c>
      <c r="U58" s="7">
        <v>43221</v>
      </c>
      <c r="V58" s="4">
        <v>6</v>
      </c>
      <c r="W58" s="10">
        <v>243.8</v>
      </c>
      <c r="X58" s="10">
        <v>292</v>
      </c>
      <c r="Y58" s="162">
        <f t="shared" si="15"/>
        <v>48.666666666666664</v>
      </c>
      <c r="AA58" s="159"/>
    </row>
    <row r="59" spans="2:27" x14ac:dyDescent="0.2">
      <c r="B59" s="6"/>
      <c r="C59" s="7">
        <v>43252</v>
      </c>
      <c r="D59" s="4">
        <v>5</v>
      </c>
      <c r="E59" s="10">
        <v>296.3</v>
      </c>
      <c r="F59" s="134">
        <v>358</v>
      </c>
      <c r="G59" s="162">
        <f t="shared" si="12"/>
        <v>71.599999999999994</v>
      </c>
      <c r="I59" s="7">
        <v>43252</v>
      </c>
      <c r="J59" s="4">
        <v>5</v>
      </c>
      <c r="K59" s="10">
        <v>230.85</v>
      </c>
      <c r="L59" s="10">
        <v>294</v>
      </c>
      <c r="M59" s="162">
        <f t="shared" si="13"/>
        <v>58.8</v>
      </c>
      <c r="N59" s="6"/>
      <c r="O59" s="7">
        <v>43252</v>
      </c>
      <c r="P59" s="4">
        <v>6</v>
      </c>
      <c r="Q59" s="10">
        <v>510.2</v>
      </c>
      <c r="R59" s="134">
        <v>637</v>
      </c>
      <c r="S59" s="162">
        <f t="shared" si="14"/>
        <v>106.16666666666667</v>
      </c>
      <c r="U59" s="7">
        <v>43252</v>
      </c>
      <c r="V59" s="4">
        <v>6</v>
      </c>
      <c r="W59" s="10">
        <v>274.89999999999998</v>
      </c>
      <c r="X59" s="10">
        <v>322</v>
      </c>
      <c r="Y59" s="162">
        <f t="shared" si="15"/>
        <v>53.666666666666664</v>
      </c>
      <c r="AA59" s="159"/>
    </row>
    <row r="60" spans="2:27" x14ac:dyDescent="0.2">
      <c r="B60" s="6"/>
      <c r="C60" s="7">
        <v>43282</v>
      </c>
      <c r="D60" s="4">
        <v>5</v>
      </c>
      <c r="E60" s="10">
        <v>301.7</v>
      </c>
      <c r="F60" s="134">
        <v>311.17</v>
      </c>
      <c r="G60" s="162">
        <f t="shared" si="12"/>
        <v>62.234000000000002</v>
      </c>
      <c r="I60" s="7">
        <v>43282</v>
      </c>
      <c r="J60" s="4">
        <v>5</v>
      </c>
      <c r="K60" s="10">
        <v>230.9</v>
      </c>
      <c r="L60" s="10">
        <v>297</v>
      </c>
      <c r="M60" s="162">
        <f t="shared" si="13"/>
        <v>59.4</v>
      </c>
      <c r="N60" s="6"/>
      <c r="O60" s="7">
        <v>43282</v>
      </c>
      <c r="P60" s="4">
        <v>6</v>
      </c>
      <c r="Q60" s="10">
        <v>458.8</v>
      </c>
      <c r="R60" s="134">
        <v>550</v>
      </c>
      <c r="S60" s="162">
        <f t="shared" si="14"/>
        <v>91.666666666666671</v>
      </c>
      <c r="U60" s="7">
        <v>43282</v>
      </c>
      <c r="V60" s="4">
        <v>6</v>
      </c>
      <c r="W60" s="10">
        <v>269.05</v>
      </c>
      <c r="X60" s="10">
        <v>316</v>
      </c>
      <c r="Y60" s="162">
        <f t="shared" si="15"/>
        <v>52.666666666666664</v>
      </c>
      <c r="AA60" s="159"/>
    </row>
    <row r="61" spans="2:27" x14ac:dyDescent="0.2">
      <c r="B61" s="6"/>
      <c r="C61" s="7">
        <v>43313</v>
      </c>
      <c r="D61" s="4">
        <v>5</v>
      </c>
      <c r="E61" s="10">
        <v>317</v>
      </c>
      <c r="F61" s="134">
        <v>322.83</v>
      </c>
      <c r="G61" s="162">
        <f t="shared" si="12"/>
        <v>64.566000000000003</v>
      </c>
      <c r="I61" s="7">
        <v>43313</v>
      </c>
      <c r="J61" s="4">
        <v>5</v>
      </c>
      <c r="K61" s="10">
        <v>246.3</v>
      </c>
      <c r="L61" s="10">
        <v>302</v>
      </c>
      <c r="M61" s="162">
        <f t="shared" si="13"/>
        <v>60.4</v>
      </c>
      <c r="N61" s="6"/>
      <c r="O61" s="7">
        <v>43313</v>
      </c>
      <c r="P61" s="4">
        <v>6</v>
      </c>
      <c r="Q61" s="10">
        <v>450.4</v>
      </c>
      <c r="R61" s="134">
        <v>547</v>
      </c>
      <c r="S61" s="162">
        <f t="shared" si="14"/>
        <v>91.166666666666671</v>
      </c>
      <c r="U61" s="7">
        <v>43313</v>
      </c>
      <c r="V61" s="4">
        <v>6</v>
      </c>
      <c r="W61" s="10">
        <v>276.8</v>
      </c>
      <c r="X61" s="10">
        <v>325</v>
      </c>
      <c r="Y61" s="162">
        <f t="shared" si="15"/>
        <v>54.166666666666664</v>
      </c>
      <c r="AA61" s="159"/>
    </row>
    <row r="62" spans="2:27" x14ac:dyDescent="0.2">
      <c r="B62" s="6"/>
      <c r="C62" s="7">
        <v>43344</v>
      </c>
      <c r="D62" s="4">
        <v>5</v>
      </c>
      <c r="E62" s="10">
        <v>291.3</v>
      </c>
      <c r="F62" s="134">
        <v>339.17</v>
      </c>
      <c r="G62" s="162">
        <f t="shared" si="12"/>
        <v>67.834000000000003</v>
      </c>
      <c r="I62" s="7">
        <v>43344</v>
      </c>
      <c r="J62" s="4">
        <v>5</v>
      </c>
      <c r="K62" s="10">
        <v>237.8</v>
      </c>
      <c r="L62" s="10">
        <v>300.08</v>
      </c>
      <c r="M62" s="162">
        <f t="shared" si="13"/>
        <v>60.015999999999998</v>
      </c>
      <c r="N62" s="6"/>
      <c r="O62" s="7">
        <v>43344</v>
      </c>
      <c r="P62" s="4">
        <v>6</v>
      </c>
      <c r="Q62" s="10">
        <v>867</v>
      </c>
      <c r="R62" s="134">
        <v>764</v>
      </c>
      <c r="S62" s="162">
        <f>+R62/P62</f>
        <v>127.33333333333333</v>
      </c>
      <c r="U62" s="7">
        <v>43344</v>
      </c>
      <c r="V62" s="4">
        <v>6</v>
      </c>
      <c r="W62" s="10">
        <v>276.8</v>
      </c>
      <c r="X62" s="10">
        <v>325</v>
      </c>
      <c r="Y62" s="162">
        <f t="shared" ref="Y62" si="16">+X62/V62</f>
        <v>54.166666666666664</v>
      </c>
      <c r="AA62" s="159"/>
    </row>
    <row r="63" spans="2:27" x14ac:dyDescent="0.2">
      <c r="B63" s="6"/>
      <c r="C63" s="7">
        <v>43374</v>
      </c>
      <c r="D63" s="4">
        <v>5</v>
      </c>
      <c r="E63" s="10">
        <v>309</v>
      </c>
      <c r="F63" s="134">
        <v>368</v>
      </c>
      <c r="G63" s="162">
        <f t="shared" si="12"/>
        <v>73.599999999999994</v>
      </c>
      <c r="I63" s="7">
        <v>43374</v>
      </c>
      <c r="J63" s="4">
        <v>5</v>
      </c>
      <c r="K63" s="10">
        <v>237.8</v>
      </c>
      <c r="L63" s="10">
        <v>300.08</v>
      </c>
      <c r="M63" s="162">
        <f t="shared" ref="M63" si="17">+L63/J63</f>
        <v>60.015999999999998</v>
      </c>
      <c r="N63" s="6"/>
      <c r="O63" s="7">
        <v>43374</v>
      </c>
      <c r="P63" s="4">
        <v>6</v>
      </c>
      <c r="Q63" s="10">
        <v>419.4</v>
      </c>
      <c r="R63" s="134">
        <v>503</v>
      </c>
      <c r="S63" s="162">
        <f>+R63/P63</f>
        <v>83.833333333333329</v>
      </c>
      <c r="U63" s="7">
        <v>43374</v>
      </c>
      <c r="V63" s="4">
        <v>6</v>
      </c>
      <c r="W63" s="10">
        <v>290.3</v>
      </c>
      <c r="X63" s="10">
        <v>343</v>
      </c>
      <c r="Y63" s="162">
        <f t="shared" si="15"/>
        <v>57.166666666666664</v>
      </c>
      <c r="AA63" s="159"/>
    </row>
    <row r="64" spans="2:27" x14ac:dyDescent="0.2">
      <c r="B64" s="6"/>
      <c r="C64" s="7">
        <v>43405</v>
      </c>
      <c r="D64" s="4">
        <v>5</v>
      </c>
      <c r="E64" s="10">
        <v>299.7</v>
      </c>
      <c r="F64" s="134">
        <v>353</v>
      </c>
      <c r="G64" s="162">
        <f t="shared" si="12"/>
        <v>70.599999999999994</v>
      </c>
      <c r="I64" s="7">
        <v>43405</v>
      </c>
      <c r="J64" s="4">
        <v>5</v>
      </c>
      <c r="K64" s="10">
        <v>238.15</v>
      </c>
      <c r="L64" s="10">
        <v>302</v>
      </c>
      <c r="M64" s="162">
        <f t="shared" si="13"/>
        <v>60.4</v>
      </c>
      <c r="N64" s="6"/>
      <c r="O64" s="7">
        <v>43405</v>
      </c>
      <c r="P64" s="4">
        <v>6</v>
      </c>
      <c r="Q64" s="10">
        <v>458.8</v>
      </c>
      <c r="R64" s="134">
        <v>550</v>
      </c>
      <c r="S64" s="162">
        <f t="shared" ref="S64" si="18">+R64/P64</f>
        <v>91.666666666666671</v>
      </c>
      <c r="U64" s="7">
        <v>43405</v>
      </c>
      <c r="V64" s="4">
        <v>6</v>
      </c>
      <c r="W64" s="10">
        <v>276.8</v>
      </c>
      <c r="X64" s="10">
        <v>325</v>
      </c>
      <c r="Y64" s="162">
        <f t="shared" ref="Y64" si="19">+X64/V64</f>
        <v>54.166666666666664</v>
      </c>
      <c r="AA64" s="159"/>
    </row>
    <row r="65" spans="2:27" ht="12.75" thickBot="1" x14ac:dyDescent="0.25">
      <c r="B65" s="6"/>
      <c r="C65" s="7">
        <v>43435</v>
      </c>
      <c r="D65" s="351" t="s">
        <v>116</v>
      </c>
      <c r="E65" s="352"/>
      <c r="F65" s="352"/>
      <c r="G65" s="353"/>
      <c r="I65" s="7">
        <v>43435</v>
      </c>
      <c r="J65" s="14">
        <v>5</v>
      </c>
      <c r="K65" s="15">
        <v>237.4</v>
      </c>
      <c r="L65" s="15">
        <v>296</v>
      </c>
      <c r="M65" s="162">
        <f t="shared" si="13"/>
        <v>59.2</v>
      </c>
      <c r="N65" s="6"/>
      <c r="O65" s="7">
        <v>43435</v>
      </c>
      <c r="P65" s="14">
        <v>6</v>
      </c>
      <c r="Q65" s="15">
        <v>427.7</v>
      </c>
      <c r="R65" s="134">
        <v>506</v>
      </c>
      <c r="S65" s="162">
        <f t="shared" ref="S65" si="20">+R65/P65</f>
        <v>84.333333333333329</v>
      </c>
      <c r="U65" s="7">
        <v>43435</v>
      </c>
      <c r="V65" s="351" t="s">
        <v>116</v>
      </c>
      <c r="W65" s="352"/>
      <c r="X65" s="352"/>
      <c r="Y65" s="353"/>
      <c r="AA65" s="159"/>
    </row>
    <row r="66" spans="2:27" ht="12.75" thickBot="1" x14ac:dyDescent="0.25">
      <c r="B66" s="6"/>
      <c r="C66" s="154" t="s">
        <v>2</v>
      </c>
      <c r="D66" s="141">
        <f>AVERAGE(D54:D65)</f>
        <v>5</v>
      </c>
      <c r="E66" s="141">
        <f>AVERAGE(E54:E65)</f>
        <v>299.4909090909091</v>
      </c>
      <c r="F66" s="155">
        <f>AVERAGE(F54:F65)</f>
        <v>329.16727272727275</v>
      </c>
      <c r="G66" s="157">
        <f>AVERAGE(G54:G65)</f>
        <v>65.833454545454529</v>
      </c>
      <c r="H66" s="156"/>
      <c r="I66" s="157" t="s">
        <v>2</v>
      </c>
      <c r="J66" s="158">
        <f>AVERAGE(J54:J65)</f>
        <v>5</v>
      </c>
      <c r="K66" s="141">
        <f>AVERAGE(K54:K65)</f>
        <v>221.92499999999998</v>
      </c>
      <c r="L66" s="155">
        <f>AVERAGE(L54:L65)</f>
        <v>283.93</v>
      </c>
      <c r="M66" s="157">
        <f>AVERAGE(M54:M65)</f>
        <v>56.786000000000001</v>
      </c>
      <c r="N66" s="156"/>
      <c r="O66" s="157" t="s">
        <v>2</v>
      </c>
      <c r="P66" s="158">
        <f>AVERAGE(P54:P65)</f>
        <v>6</v>
      </c>
      <c r="Q66" s="141">
        <f>AVERAGE(Q54:Q65)</f>
        <v>621.44166666666661</v>
      </c>
      <c r="R66" s="155">
        <f>AVERAGE(R54:R65)</f>
        <v>710.91666666666663</v>
      </c>
      <c r="S66" s="157">
        <f>AVERAGE(S54:S65)</f>
        <v>118.48611111111109</v>
      </c>
      <c r="T66" s="156"/>
      <c r="U66" s="163" t="s">
        <v>2</v>
      </c>
      <c r="V66" s="158">
        <f>AVERAGE(V54:V65)</f>
        <v>6</v>
      </c>
      <c r="W66" s="141">
        <f>AVERAGE(W54:W65)</f>
        <v>250.40818181818184</v>
      </c>
      <c r="X66" s="141">
        <f>AVERAGE(X54:X65)</f>
        <v>301.27272727272725</v>
      </c>
      <c r="Y66" s="142">
        <f>AVERAGE(Y54:Y65)</f>
        <v>50.212121212121218</v>
      </c>
    </row>
    <row r="67" spans="2:27" x14ac:dyDescent="0.2">
      <c r="B67" s="6"/>
      <c r="N67" s="6"/>
      <c r="O67" s="17"/>
      <c r="AA67" s="159"/>
    </row>
    <row r="68" spans="2:27" ht="12.75" thickBot="1" x14ac:dyDescent="0.25">
      <c r="B68" s="6"/>
      <c r="C68" s="17"/>
      <c r="N68" s="6"/>
      <c r="O68" s="17"/>
    </row>
    <row r="69" spans="2:27" ht="16.5" thickBot="1" x14ac:dyDescent="0.3">
      <c r="B69" s="6"/>
      <c r="C69" s="362" t="s">
        <v>110</v>
      </c>
      <c r="D69" s="363"/>
      <c r="E69" s="363"/>
      <c r="F69" s="363"/>
      <c r="G69" s="364"/>
      <c r="I69" s="362" t="s">
        <v>110</v>
      </c>
      <c r="J69" s="363"/>
      <c r="K69" s="363"/>
      <c r="L69" s="363"/>
      <c r="M69" s="364"/>
      <c r="N69" s="6"/>
      <c r="O69" s="362" t="s">
        <v>110</v>
      </c>
      <c r="P69" s="363"/>
      <c r="Q69" s="363"/>
      <c r="R69" s="363"/>
      <c r="S69" s="364"/>
      <c r="U69" s="362" t="s">
        <v>110</v>
      </c>
      <c r="V69" s="363"/>
      <c r="W69" s="363"/>
      <c r="X69" s="363"/>
      <c r="Y69" s="364"/>
    </row>
    <row r="70" spans="2:27" ht="15" x14ac:dyDescent="0.25">
      <c r="B70" s="6"/>
      <c r="C70" s="365" t="s">
        <v>19</v>
      </c>
      <c r="D70" s="365"/>
      <c r="E70" s="365"/>
      <c r="F70" s="365"/>
      <c r="G70" s="365"/>
      <c r="I70" s="365" t="s">
        <v>20</v>
      </c>
      <c r="J70" s="365"/>
      <c r="K70" s="365"/>
      <c r="L70" s="365"/>
      <c r="M70" s="365"/>
      <c r="N70" s="6"/>
      <c r="O70" s="365" t="s">
        <v>21</v>
      </c>
      <c r="P70" s="365"/>
      <c r="Q70" s="365"/>
      <c r="R70" s="365"/>
      <c r="S70" s="365"/>
      <c r="U70" s="365" t="s">
        <v>22</v>
      </c>
      <c r="V70" s="365"/>
      <c r="W70" s="365"/>
      <c r="X70" s="365"/>
      <c r="Y70" s="365"/>
    </row>
    <row r="71" spans="2:27" ht="12.75" thickBot="1" x14ac:dyDescent="0.25">
      <c r="B71" s="6"/>
      <c r="C71" s="129"/>
      <c r="D71" s="129"/>
      <c r="E71" s="129"/>
      <c r="F71" s="129"/>
      <c r="G71" s="130"/>
      <c r="I71" s="129"/>
      <c r="J71" s="129"/>
      <c r="K71" s="129"/>
      <c r="L71" s="130"/>
      <c r="M71" s="130"/>
      <c r="N71" s="6"/>
      <c r="O71" s="129"/>
      <c r="P71" s="129"/>
      <c r="Q71" s="129"/>
      <c r="R71" s="130"/>
      <c r="S71" s="130"/>
      <c r="U71" s="129"/>
      <c r="V71" s="129"/>
      <c r="W71" s="129"/>
      <c r="X71" s="129"/>
      <c r="Y71" s="130"/>
    </row>
    <row r="72" spans="2:27" x14ac:dyDescent="0.2">
      <c r="B72" s="6"/>
      <c r="C72" s="366" t="s">
        <v>1</v>
      </c>
      <c r="D72" s="358" t="s">
        <v>0</v>
      </c>
      <c r="E72" s="358" t="s">
        <v>7</v>
      </c>
      <c r="F72" s="368" t="s">
        <v>8</v>
      </c>
      <c r="G72" s="360" t="s">
        <v>9</v>
      </c>
      <c r="I72" s="366" t="s">
        <v>1</v>
      </c>
      <c r="J72" s="358" t="s">
        <v>0</v>
      </c>
      <c r="K72" s="358" t="s">
        <v>7</v>
      </c>
      <c r="L72" s="368" t="s">
        <v>8</v>
      </c>
      <c r="M72" s="360" t="s">
        <v>9</v>
      </c>
      <c r="N72" s="6"/>
      <c r="O72" s="366" t="s">
        <v>1</v>
      </c>
      <c r="P72" s="358" t="s">
        <v>0</v>
      </c>
      <c r="Q72" s="358" t="s">
        <v>7</v>
      </c>
      <c r="R72" s="368" t="s">
        <v>8</v>
      </c>
      <c r="S72" s="360" t="s">
        <v>9</v>
      </c>
      <c r="U72" s="366" t="s">
        <v>1</v>
      </c>
      <c r="V72" s="358" t="s">
        <v>0</v>
      </c>
      <c r="W72" s="358" t="s">
        <v>7</v>
      </c>
      <c r="X72" s="368" t="s">
        <v>8</v>
      </c>
      <c r="Y72" s="360" t="s">
        <v>9</v>
      </c>
    </row>
    <row r="73" spans="2:27" ht="72.75" customHeight="1" thickBot="1" x14ac:dyDescent="0.25">
      <c r="B73" s="6"/>
      <c r="C73" s="367"/>
      <c r="D73" s="359"/>
      <c r="E73" s="359"/>
      <c r="F73" s="369"/>
      <c r="G73" s="361"/>
      <c r="I73" s="367"/>
      <c r="J73" s="359"/>
      <c r="K73" s="359"/>
      <c r="L73" s="369"/>
      <c r="M73" s="361"/>
      <c r="N73" s="6"/>
      <c r="O73" s="367"/>
      <c r="P73" s="359"/>
      <c r="Q73" s="359"/>
      <c r="R73" s="369"/>
      <c r="S73" s="361"/>
      <c r="U73" s="367"/>
      <c r="V73" s="359"/>
      <c r="W73" s="359"/>
      <c r="X73" s="369"/>
      <c r="Y73" s="361"/>
    </row>
    <row r="74" spans="2:27" x14ac:dyDescent="0.2">
      <c r="B74" s="6"/>
      <c r="C74" s="7">
        <v>43101</v>
      </c>
      <c r="D74" s="8">
        <v>5</v>
      </c>
      <c r="E74" s="150">
        <v>664.5</v>
      </c>
      <c r="F74" s="150">
        <v>572</v>
      </c>
      <c r="G74" s="132">
        <f t="shared" ref="G74:G83" si="21">+F74/D74</f>
        <v>114.4</v>
      </c>
      <c r="I74" s="7">
        <v>43101</v>
      </c>
      <c r="J74" s="8">
        <v>5</v>
      </c>
      <c r="K74" s="150">
        <v>121.6</v>
      </c>
      <c r="L74" s="134">
        <v>284</v>
      </c>
      <c r="M74" s="162">
        <f t="shared" ref="M74:M82" si="22">+L74/J74</f>
        <v>56.8</v>
      </c>
      <c r="N74" s="6"/>
      <c r="O74" s="7">
        <v>43101</v>
      </c>
      <c r="P74" s="8">
        <v>4</v>
      </c>
      <c r="Q74" s="10">
        <v>389.7</v>
      </c>
      <c r="R74" s="134">
        <v>654</v>
      </c>
      <c r="S74" s="162">
        <f t="shared" ref="S74:S84" si="23">+R74/P74</f>
        <v>163.5</v>
      </c>
      <c r="T74" s="17"/>
      <c r="U74" s="7">
        <v>43101</v>
      </c>
      <c r="V74" s="8">
        <v>7</v>
      </c>
      <c r="W74" s="150">
        <v>370.06</v>
      </c>
      <c r="X74" s="150">
        <v>524</v>
      </c>
      <c r="Y74" s="162">
        <f t="shared" ref="Y74:Y79" si="24">+X74/V74</f>
        <v>74.857142857142861</v>
      </c>
      <c r="AA74" s="159"/>
    </row>
    <row r="75" spans="2:27" x14ac:dyDescent="0.2">
      <c r="B75" s="6"/>
      <c r="C75" s="7">
        <v>43132</v>
      </c>
      <c r="D75" s="4">
        <v>5</v>
      </c>
      <c r="E75" s="10">
        <v>589.5</v>
      </c>
      <c r="F75" s="10">
        <v>765</v>
      </c>
      <c r="G75" s="132">
        <f t="shared" si="21"/>
        <v>153</v>
      </c>
      <c r="I75" s="7">
        <v>43132</v>
      </c>
      <c r="J75" s="4">
        <v>5</v>
      </c>
      <c r="K75" s="10">
        <v>151.5</v>
      </c>
      <c r="L75" s="134">
        <v>293</v>
      </c>
      <c r="M75" s="162">
        <f t="shared" si="22"/>
        <v>58.6</v>
      </c>
      <c r="N75" s="6"/>
      <c r="O75" s="7">
        <v>43132</v>
      </c>
      <c r="P75" s="4">
        <v>4</v>
      </c>
      <c r="Q75" s="10">
        <v>614.5</v>
      </c>
      <c r="R75" s="134">
        <v>755</v>
      </c>
      <c r="S75" s="162">
        <f t="shared" si="23"/>
        <v>188.75</v>
      </c>
      <c r="T75" s="17"/>
      <c r="U75" s="7">
        <v>43132</v>
      </c>
      <c r="V75" s="8">
        <v>7</v>
      </c>
      <c r="W75" s="10">
        <v>418.7</v>
      </c>
      <c r="X75" s="10">
        <v>475.5</v>
      </c>
      <c r="Y75" s="162">
        <f t="shared" si="24"/>
        <v>67.928571428571431</v>
      </c>
      <c r="AA75" s="159"/>
    </row>
    <row r="76" spans="2:27" x14ac:dyDescent="0.2">
      <c r="B76" s="6"/>
      <c r="C76" s="7">
        <v>43160</v>
      </c>
      <c r="D76" s="4">
        <v>5</v>
      </c>
      <c r="E76" s="10">
        <v>498</v>
      </c>
      <c r="F76" s="10">
        <v>628</v>
      </c>
      <c r="G76" s="132">
        <f t="shared" si="21"/>
        <v>125.6</v>
      </c>
      <c r="I76" s="7">
        <v>43160</v>
      </c>
      <c r="J76" s="4">
        <v>5</v>
      </c>
      <c r="K76" s="15">
        <v>188.9</v>
      </c>
      <c r="L76" s="134">
        <v>300</v>
      </c>
      <c r="M76" s="162">
        <f t="shared" si="22"/>
        <v>60</v>
      </c>
      <c r="N76" s="6"/>
      <c r="O76" s="7">
        <v>43160</v>
      </c>
      <c r="P76" s="4">
        <v>4</v>
      </c>
      <c r="Q76" s="10">
        <v>733.3</v>
      </c>
      <c r="R76" s="134">
        <v>800</v>
      </c>
      <c r="S76" s="162">
        <f t="shared" si="23"/>
        <v>200</v>
      </c>
      <c r="T76" s="17"/>
      <c r="U76" s="7">
        <v>43160</v>
      </c>
      <c r="V76" s="8">
        <v>7</v>
      </c>
      <c r="W76" s="10">
        <v>445.2</v>
      </c>
      <c r="X76" s="10">
        <v>489</v>
      </c>
      <c r="Y76" s="162">
        <f t="shared" si="24"/>
        <v>69.857142857142861</v>
      </c>
      <c r="AA76" s="159"/>
    </row>
    <row r="77" spans="2:27" x14ac:dyDescent="0.2">
      <c r="B77" s="6"/>
      <c r="C77" s="7">
        <v>43191</v>
      </c>
      <c r="D77" s="4">
        <v>5</v>
      </c>
      <c r="E77" s="10">
        <v>527.97</v>
      </c>
      <c r="F77" s="10">
        <v>671</v>
      </c>
      <c r="G77" s="132">
        <f t="shared" si="21"/>
        <v>134.19999999999999</v>
      </c>
      <c r="I77" s="7">
        <v>43191</v>
      </c>
      <c r="J77" s="4">
        <v>5</v>
      </c>
      <c r="K77" s="19">
        <v>227.65</v>
      </c>
      <c r="L77" s="189">
        <v>290</v>
      </c>
      <c r="M77" s="162">
        <f t="shared" si="22"/>
        <v>58</v>
      </c>
      <c r="N77" s="6"/>
      <c r="O77" s="7">
        <v>43191</v>
      </c>
      <c r="P77" s="4">
        <v>4</v>
      </c>
      <c r="Q77" s="134">
        <v>667.5</v>
      </c>
      <c r="R77" s="10">
        <v>818</v>
      </c>
      <c r="S77" s="162">
        <f t="shared" si="23"/>
        <v>204.5</v>
      </c>
      <c r="T77" s="17"/>
      <c r="U77" s="7">
        <v>43191</v>
      </c>
      <c r="V77" s="4">
        <v>7</v>
      </c>
      <c r="W77" s="10">
        <v>401.5</v>
      </c>
      <c r="X77" s="10">
        <v>449</v>
      </c>
      <c r="Y77" s="162">
        <f t="shared" si="24"/>
        <v>64.142857142857139</v>
      </c>
      <c r="AA77" s="159"/>
    </row>
    <row r="78" spans="2:27" x14ac:dyDescent="0.2">
      <c r="B78" s="6" t="s">
        <v>94</v>
      </c>
      <c r="C78" s="7">
        <v>43221</v>
      </c>
      <c r="D78" s="4">
        <v>5</v>
      </c>
      <c r="E78" s="10">
        <v>287.22000000000003</v>
      </c>
      <c r="F78" s="10">
        <v>376</v>
      </c>
      <c r="G78" s="132">
        <f t="shared" si="21"/>
        <v>75.2</v>
      </c>
      <c r="I78" s="7">
        <v>43221</v>
      </c>
      <c r="J78" s="4">
        <v>5</v>
      </c>
      <c r="K78" s="19">
        <v>216.1</v>
      </c>
      <c r="L78" s="189">
        <v>283</v>
      </c>
      <c r="M78" s="162">
        <f t="shared" si="22"/>
        <v>56.6</v>
      </c>
      <c r="N78" s="6"/>
      <c r="O78" s="7">
        <v>43221</v>
      </c>
      <c r="P78" s="4">
        <v>4</v>
      </c>
      <c r="Q78" s="134">
        <v>569.9</v>
      </c>
      <c r="R78" s="134">
        <v>688</v>
      </c>
      <c r="S78" s="162">
        <f t="shared" si="23"/>
        <v>172</v>
      </c>
      <c r="T78" s="17"/>
      <c r="U78" s="7">
        <v>43221</v>
      </c>
      <c r="V78" s="4">
        <v>7</v>
      </c>
      <c r="W78" s="10">
        <v>412.5</v>
      </c>
      <c r="X78" s="10">
        <v>502</v>
      </c>
      <c r="Y78" s="162">
        <f t="shared" si="24"/>
        <v>71.714285714285708</v>
      </c>
      <c r="AA78" s="159"/>
    </row>
    <row r="79" spans="2:27" x14ac:dyDescent="0.2">
      <c r="B79" s="6"/>
      <c r="C79" s="7">
        <v>43252</v>
      </c>
      <c r="D79" s="4">
        <v>5</v>
      </c>
      <c r="E79" s="4">
        <v>262</v>
      </c>
      <c r="F79" s="4">
        <v>342</v>
      </c>
      <c r="G79" s="132">
        <f t="shared" si="21"/>
        <v>68.400000000000006</v>
      </c>
      <c r="I79" s="7">
        <v>43252</v>
      </c>
      <c r="J79" s="4">
        <v>5</v>
      </c>
      <c r="K79" s="19">
        <v>263.85000000000002</v>
      </c>
      <c r="L79" s="189">
        <v>325</v>
      </c>
      <c r="M79" s="162">
        <f t="shared" si="22"/>
        <v>65</v>
      </c>
      <c r="N79" s="6"/>
      <c r="O79" s="7">
        <v>43252</v>
      </c>
      <c r="P79" s="4">
        <v>4</v>
      </c>
      <c r="Q79" s="10">
        <v>523.5</v>
      </c>
      <c r="R79" s="134">
        <v>656</v>
      </c>
      <c r="S79" s="162">
        <f t="shared" si="23"/>
        <v>164</v>
      </c>
      <c r="T79" s="17"/>
      <c r="U79" s="7">
        <v>43252</v>
      </c>
      <c r="V79" s="2">
        <v>7</v>
      </c>
      <c r="W79" s="19">
        <v>407</v>
      </c>
      <c r="X79" s="19">
        <v>479</v>
      </c>
      <c r="Y79" s="162">
        <f t="shared" si="24"/>
        <v>68.428571428571431</v>
      </c>
      <c r="AA79" s="159"/>
    </row>
    <row r="80" spans="2:27" x14ac:dyDescent="0.2">
      <c r="B80" s="6"/>
      <c r="C80" s="7">
        <v>43282</v>
      </c>
      <c r="D80" s="4">
        <v>5</v>
      </c>
      <c r="E80" s="10">
        <v>275.5</v>
      </c>
      <c r="F80" s="10">
        <v>355</v>
      </c>
      <c r="G80" s="132">
        <f t="shared" si="21"/>
        <v>71</v>
      </c>
      <c r="I80" s="7">
        <v>43282</v>
      </c>
      <c r="J80" s="4">
        <v>5</v>
      </c>
      <c r="K80" s="10">
        <v>251.65</v>
      </c>
      <c r="L80" s="134">
        <v>290</v>
      </c>
      <c r="M80" s="162">
        <f t="shared" si="22"/>
        <v>58</v>
      </c>
      <c r="N80" s="6"/>
      <c r="O80" s="7">
        <v>43282</v>
      </c>
      <c r="P80" s="4">
        <v>4</v>
      </c>
      <c r="Q80" s="10">
        <v>319.39999999999998</v>
      </c>
      <c r="R80" s="134">
        <v>749.33</v>
      </c>
      <c r="S80" s="162">
        <f t="shared" si="23"/>
        <v>187.33250000000001</v>
      </c>
      <c r="T80" s="17"/>
      <c r="U80" s="7">
        <v>43282</v>
      </c>
      <c r="V80" s="4">
        <v>7</v>
      </c>
      <c r="W80" s="10">
        <v>401.5</v>
      </c>
      <c r="X80" s="10">
        <v>449</v>
      </c>
      <c r="Y80" s="162">
        <f t="shared" ref="Y80:Y84" si="25">+X80/V80</f>
        <v>64.142857142857139</v>
      </c>
      <c r="AA80" s="159"/>
    </row>
    <row r="81" spans="2:27" x14ac:dyDescent="0.2">
      <c r="B81" s="6"/>
      <c r="C81" s="7">
        <v>43313</v>
      </c>
      <c r="D81" s="4">
        <v>5</v>
      </c>
      <c r="E81" s="10">
        <v>266</v>
      </c>
      <c r="F81" s="10">
        <v>353</v>
      </c>
      <c r="G81" s="132">
        <f t="shared" si="21"/>
        <v>70.599999999999994</v>
      </c>
      <c r="I81" s="7">
        <v>43313</v>
      </c>
      <c r="J81" s="4">
        <v>5</v>
      </c>
      <c r="K81" s="10">
        <v>253.15</v>
      </c>
      <c r="L81" s="134">
        <v>333</v>
      </c>
      <c r="M81" s="162">
        <f t="shared" si="22"/>
        <v>66.599999999999994</v>
      </c>
      <c r="N81" s="6"/>
      <c r="O81" s="7">
        <v>43313</v>
      </c>
      <c r="P81" s="4">
        <v>4</v>
      </c>
      <c r="Q81" s="10">
        <v>363.6</v>
      </c>
      <c r="R81" s="134">
        <v>805</v>
      </c>
      <c r="S81" s="162">
        <f t="shared" si="23"/>
        <v>201.25</v>
      </c>
      <c r="U81" s="7">
        <v>43313</v>
      </c>
      <c r="V81" s="4">
        <v>7</v>
      </c>
      <c r="W81" s="10">
        <v>412.5</v>
      </c>
      <c r="X81" s="10">
        <v>502</v>
      </c>
      <c r="Y81" s="162">
        <f t="shared" si="25"/>
        <v>71.714285714285708</v>
      </c>
      <c r="AA81" s="159"/>
    </row>
    <row r="82" spans="2:27" x14ac:dyDescent="0.2">
      <c r="B82" s="6"/>
      <c r="C82" s="7">
        <v>43344</v>
      </c>
      <c r="D82" s="4">
        <v>5</v>
      </c>
      <c r="E82" s="10">
        <v>239.5</v>
      </c>
      <c r="F82" s="10">
        <v>309</v>
      </c>
      <c r="G82" s="132">
        <f t="shared" si="21"/>
        <v>61.8</v>
      </c>
      <c r="I82" s="7">
        <v>43344</v>
      </c>
      <c r="J82" s="4">
        <v>5</v>
      </c>
      <c r="K82" s="10">
        <v>238.45</v>
      </c>
      <c r="L82" s="134">
        <v>295</v>
      </c>
      <c r="M82" s="162">
        <f t="shared" si="22"/>
        <v>59</v>
      </c>
      <c r="N82" s="6"/>
      <c r="O82" s="7">
        <v>43344</v>
      </c>
      <c r="P82" s="4">
        <v>4</v>
      </c>
      <c r="Q82" s="10">
        <v>315.5</v>
      </c>
      <c r="R82" s="134">
        <v>394</v>
      </c>
      <c r="S82" s="162">
        <f t="shared" si="23"/>
        <v>98.5</v>
      </c>
      <c r="U82" s="7">
        <v>43344</v>
      </c>
      <c r="V82" s="2">
        <v>7</v>
      </c>
      <c r="W82" s="19">
        <v>407</v>
      </c>
      <c r="X82" s="19">
        <v>479</v>
      </c>
      <c r="Y82" s="162">
        <f t="shared" si="25"/>
        <v>68.428571428571431</v>
      </c>
      <c r="AA82" s="159"/>
    </row>
    <row r="83" spans="2:27" x14ac:dyDescent="0.2">
      <c r="B83" s="6"/>
      <c r="C83" s="7">
        <v>43374</v>
      </c>
      <c r="D83" s="4">
        <v>5</v>
      </c>
      <c r="E83" s="10">
        <v>259.5</v>
      </c>
      <c r="F83" s="10">
        <v>338</v>
      </c>
      <c r="G83" s="132">
        <f t="shared" si="21"/>
        <v>67.599999999999994</v>
      </c>
      <c r="I83" s="7">
        <v>43374</v>
      </c>
      <c r="J83" s="4">
        <v>5</v>
      </c>
      <c r="K83" s="10">
        <v>151.5</v>
      </c>
      <c r="L83" s="134">
        <v>293</v>
      </c>
      <c r="M83" s="162">
        <f t="shared" ref="M83:M85" si="26">+L83/J83</f>
        <v>58.6</v>
      </c>
      <c r="N83" s="6"/>
      <c r="O83" s="7">
        <v>43374</v>
      </c>
      <c r="P83" s="4">
        <v>4</v>
      </c>
      <c r="Q83" s="10">
        <v>311.7</v>
      </c>
      <c r="R83" s="134">
        <v>387</v>
      </c>
      <c r="S83" s="162">
        <f t="shared" si="23"/>
        <v>96.75</v>
      </c>
      <c r="U83" s="7">
        <v>43374</v>
      </c>
      <c r="V83" s="4">
        <v>7</v>
      </c>
      <c r="W83" s="10">
        <v>375.6</v>
      </c>
      <c r="X83" s="10">
        <v>430</v>
      </c>
      <c r="Y83" s="162">
        <f t="shared" si="25"/>
        <v>61.428571428571431</v>
      </c>
      <c r="AA83" s="159"/>
    </row>
    <row r="84" spans="2:27" x14ac:dyDescent="0.2">
      <c r="B84" s="6"/>
      <c r="C84" s="7">
        <v>43405</v>
      </c>
      <c r="D84" s="4">
        <v>5</v>
      </c>
      <c r="E84" s="10">
        <v>266</v>
      </c>
      <c r="F84" s="10">
        <v>353</v>
      </c>
      <c r="G84" s="132">
        <f t="shared" ref="G84" si="27">+F84/D84</f>
        <v>70.599999999999994</v>
      </c>
      <c r="I84" s="7">
        <v>43405</v>
      </c>
      <c r="J84" s="4">
        <v>5</v>
      </c>
      <c r="K84" s="15">
        <v>188.9</v>
      </c>
      <c r="L84" s="134">
        <v>300</v>
      </c>
      <c r="M84" s="162">
        <f t="shared" si="26"/>
        <v>60</v>
      </c>
      <c r="N84" s="6"/>
      <c r="O84" s="7">
        <v>43405</v>
      </c>
      <c r="P84" s="4">
        <v>4</v>
      </c>
      <c r="Q84" s="10">
        <v>443.5</v>
      </c>
      <c r="R84" s="134">
        <v>531</v>
      </c>
      <c r="S84" s="162">
        <f t="shared" si="23"/>
        <v>132.75</v>
      </c>
      <c r="U84" s="7">
        <v>43405</v>
      </c>
      <c r="V84" s="4">
        <v>7</v>
      </c>
      <c r="W84" s="10">
        <v>380.2</v>
      </c>
      <c r="X84" s="10">
        <v>432</v>
      </c>
      <c r="Y84" s="162">
        <f t="shared" si="25"/>
        <v>61.714285714285715</v>
      </c>
      <c r="AA84" s="159"/>
    </row>
    <row r="85" spans="2:27" ht="12.75" thickBot="1" x14ac:dyDescent="0.25">
      <c r="B85" s="6"/>
      <c r="C85" s="7">
        <v>43435</v>
      </c>
      <c r="D85" s="351" t="s">
        <v>116</v>
      </c>
      <c r="E85" s="352"/>
      <c r="F85" s="352"/>
      <c r="G85" s="353"/>
      <c r="I85" s="7">
        <v>43435</v>
      </c>
      <c r="J85" s="4">
        <v>5</v>
      </c>
      <c r="K85" s="19">
        <v>227.65</v>
      </c>
      <c r="L85" s="189">
        <v>290</v>
      </c>
      <c r="M85" s="162">
        <f t="shared" si="26"/>
        <v>58</v>
      </c>
      <c r="N85" s="6"/>
      <c r="O85" s="7">
        <v>43435</v>
      </c>
      <c r="P85" s="351" t="s">
        <v>116</v>
      </c>
      <c r="Q85" s="352"/>
      <c r="R85" s="352"/>
      <c r="S85" s="353"/>
      <c r="U85" s="7">
        <v>43435</v>
      </c>
      <c r="V85" s="351" t="s">
        <v>116</v>
      </c>
      <c r="W85" s="352"/>
      <c r="X85" s="352"/>
      <c r="Y85" s="353"/>
      <c r="AA85" s="159"/>
    </row>
    <row r="86" spans="2:27" ht="12.75" thickBot="1" x14ac:dyDescent="0.25">
      <c r="B86" s="6"/>
      <c r="C86" s="140" t="s">
        <v>2</v>
      </c>
      <c r="D86" s="141">
        <f>AVERAGE(D74:D85)</f>
        <v>5</v>
      </c>
      <c r="E86" s="141">
        <f>AVERAGE(E74:E85)</f>
        <v>375.97181818181821</v>
      </c>
      <c r="F86" s="141">
        <f>AVERAGE(F74:F85)</f>
        <v>460.18181818181819</v>
      </c>
      <c r="G86" s="141">
        <f>AVERAGE(G74:G85)</f>
        <v>92.036363636363646</v>
      </c>
      <c r="I86" s="140" t="s">
        <v>2</v>
      </c>
      <c r="J86" s="141">
        <f>AVERAGE(J74:J85)</f>
        <v>5</v>
      </c>
      <c r="K86" s="141">
        <f>AVERAGE(K74:K85)</f>
        <v>206.7416666666667</v>
      </c>
      <c r="L86" s="141">
        <f>AVERAGE(L74:L85)</f>
        <v>298</v>
      </c>
      <c r="M86" s="141">
        <f>AVERAGE(M74:M85)</f>
        <v>59.6</v>
      </c>
      <c r="N86" s="6"/>
      <c r="O86" s="140" t="s">
        <v>2</v>
      </c>
      <c r="P86" s="141">
        <f>AVERAGE(P74:P85)</f>
        <v>4</v>
      </c>
      <c r="Q86" s="141">
        <f>AVERAGE(Q74:Q85)</f>
        <v>477.4636363636364</v>
      </c>
      <c r="R86" s="141">
        <f>AVERAGE(R74:R85)</f>
        <v>657.93909090909085</v>
      </c>
      <c r="S86" s="141">
        <f>AVERAGE(S74:S85)</f>
        <v>164.48477272727271</v>
      </c>
      <c r="U86" s="140" t="s">
        <v>2</v>
      </c>
      <c r="V86" s="141">
        <f>AVERAGE(V74:V85)</f>
        <v>7</v>
      </c>
      <c r="W86" s="141">
        <f>AVERAGE(W74:W85)</f>
        <v>402.88727272727277</v>
      </c>
      <c r="X86" s="141">
        <f>AVERAGE(X74:X85)</f>
        <v>473.68181818181819</v>
      </c>
      <c r="Y86" s="141">
        <f>AVERAGE(Y74:Y85)</f>
        <v>67.668831168831161</v>
      </c>
      <c r="AA86" s="159"/>
    </row>
    <row r="87" spans="2:27" x14ac:dyDescent="0.2">
      <c r="B87" s="6"/>
      <c r="C87" s="17"/>
      <c r="N87" s="6"/>
    </row>
    <row r="88" spans="2:27" ht="12.75" thickBot="1" x14ac:dyDescent="0.25">
      <c r="B88" s="6"/>
      <c r="C88" s="17"/>
      <c r="N88" s="6"/>
    </row>
    <row r="89" spans="2:27" ht="16.5" thickBot="1" x14ac:dyDescent="0.3">
      <c r="B89" s="6"/>
      <c r="C89" s="362" t="s">
        <v>110</v>
      </c>
      <c r="D89" s="363"/>
      <c r="E89" s="363"/>
      <c r="F89" s="363"/>
      <c r="G89" s="364"/>
      <c r="I89" s="362" t="s">
        <v>110</v>
      </c>
      <c r="J89" s="363"/>
      <c r="K89" s="363"/>
      <c r="L89" s="363"/>
      <c r="M89" s="364"/>
      <c r="N89" s="6"/>
      <c r="O89" s="362" t="s">
        <v>110</v>
      </c>
      <c r="P89" s="363"/>
      <c r="Q89" s="363"/>
      <c r="R89" s="363"/>
      <c r="S89" s="364"/>
      <c r="U89" s="362" t="s">
        <v>110</v>
      </c>
      <c r="V89" s="363"/>
      <c r="W89" s="363"/>
      <c r="X89" s="363"/>
      <c r="Y89" s="364"/>
    </row>
    <row r="90" spans="2:27" ht="15" x14ac:dyDescent="0.25">
      <c r="B90" s="6"/>
      <c r="C90" s="365" t="s">
        <v>23</v>
      </c>
      <c r="D90" s="365"/>
      <c r="E90" s="365"/>
      <c r="F90" s="365"/>
      <c r="G90" s="365"/>
      <c r="I90" s="365" t="s">
        <v>24</v>
      </c>
      <c r="J90" s="365"/>
      <c r="K90" s="365"/>
      <c r="L90" s="365"/>
      <c r="M90" s="365"/>
      <c r="N90" s="6"/>
      <c r="O90" s="365" t="s">
        <v>25</v>
      </c>
      <c r="P90" s="365"/>
      <c r="Q90" s="365"/>
      <c r="R90" s="365"/>
      <c r="S90" s="365"/>
      <c r="U90" s="365" t="s">
        <v>26</v>
      </c>
      <c r="V90" s="365"/>
      <c r="W90" s="365"/>
      <c r="X90" s="365"/>
      <c r="Y90" s="365"/>
    </row>
    <row r="91" spans="2:27" ht="12.75" thickBot="1" x14ac:dyDescent="0.25">
      <c r="B91" s="6"/>
      <c r="C91" s="129"/>
      <c r="D91" s="129"/>
      <c r="E91" s="129"/>
      <c r="F91" s="130"/>
      <c r="G91" s="130"/>
      <c r="I91" s="129"/>
      <c r="J91" s="129"/>
      <c r="K91" s="129"/>
      <c r="L91" s="130"/>
      <c r="M91" s="130"/>
      <c r="N91" s="6"/>
      <c r="O91" s="129"/>
      <c r="P91" s="129"/>
      <c r="Q91" s="129"/>
      <c r="R91" s="129"/>
      <c r="S91" s="130"/>
      <c r="U91" s="129"/>
      <c r="V91" s="129"/>
      <c r="W91" s="129"/>
      <c r="X91" s="129"/>
      <c r="Y91" s="130"/>
    </row>
    <row r="92" spans="2:27" x14ac:dyDescent="0.2">
      <c r="B92" s="6"/>
      <c r="C92" s="366" t="s">
        <v>1</v>
      </c>
      <c r="D92" s="358" t="s">
        <v>0</v>
      </c>
      <c r="E92" s="358" t="s">
        <v>7</v>
      </c>
      <c r="F92" s="368" t="s">
        <v>8</v>
      </c>
      <c r="G92" s="360" t="s">
        <v>9</v>
      </c>
      <c r="I92" s="366" t="s">
        <v>1</v>
      </c>
      <c r="J92" s="358" t="s">
        <v>0</v>
      </c>
      <c r="K92" s="358" t="s">
        <v>7</v>
      </c>
      <c r="L92" s="368" t="s">
        <v>8</v>
      </c>
      <c r="M92" s="360" t="s">
        <v>9</v>
      </c>
      <c r="N92" s="6"/>
      <c r="O92" s="366" t="s">
        <v>1</v>
      </c>
      <c r="P92" s="358" t="s">
        <v>0</v>
      </c>
      <c r="Q92" s="358" t="s">
        <v>7</v>
      </c>
      <c r="R92" s="368" t="s">
        <v>8</v>
      </c>
      <c r="S92" s="360" t="s">
        <v>9</v>
      </c>
      <c r="U92" s="366" t="s">
        <v>1</v>
      </c>
      <c r="V92" s="358" t="s">
        <v>0</v>
      </c>
      <c r="W92" s="358" t="s">
        <v>7</v>
      </c>
      <c r="X92" s="368" t="s">
        <v>8</v>
      </c>
      <c r="Y92" s="360" t="s">
        <v>9</v>
      </c>
    </row>
    <row r="93" spans="2:27" ht="76.5" customHeight="1" thickBot="1" x14ac:dyDescent="0.25">
      <c r="B93" s="6"/>
      <c r="C93" s="367"/>
      <c r="D93" s="359"/>
      <c r="E93" s="359"/>
      <c r="F93" s="369"/>
      <c r="G93" s="361"/>
      <c r="I93" s="367"/>
      <c r="J93" s="359"/>
      <c r="K93" s="359"/>
      <c r="L93" s="369"/>
      <c r="M93" s="361"/>
      <c r="N93" s="6"/>
      <c r="O93" s="367"/>
      <c r="P93" s="359"/>
      <c r="Q93" s="359"/>
      <c r="R93" s="369"/>
      <c r="S93" s="361"/>
      <c r="U93" s="367"/>
      <c r="V93" s="359"/>
      <c r="W93" s="359"/>
      <c r="X93" s="369"/>
      <c r="Y93" s="361"/>
    </row>
    <row r="94" spans="2:27" x14ac:dyDescent="0.2">
      <c r="B94" s="6"/>
      <c r="C94" s="7">
        <v>43101</v>
      </c>
      <c r="D94" s="8">
        <v>4</v>
      </c>
      <c r="E94" s="131">
        <v>776.9</v>
      </c>
      <c r="F94" s="264">
        <v>1143</v>
      </c>
      <c r="G94" s="132">
        <f>F94/D94</f>
        <v>285.75</v>
      </c>
      <c r="I94" s="7">
        <v>43101</v>
      </c>
      <c r="J94" s="8">
        <v>4</v>
      </c>
      <c r="K94" s="131">
        <v>397.2</v>
      </c>
      <c r="L94" s="133">
        <v>578</v>
      </c>
      <c r="M94" s="132">
        <f t="shared" ref="M94:M102" si="28">+L94/J94</f>
        <v>144.5</v>
      </c>
      <c r="N94" s="6"/>
      <c r="O94" s="7">
        <v>43101</v>
      </c>
      <c r="P94" s="8">
        <v>5</v>
      </c>
      <c r="Q94" s="131">
        <v>132.5</v>
      </c>
      <c r="R94" s="150">
        <v>187</v>
      </c>
      <c r="S94" s="132">
        <f t="shared" ref="S94:S104" si="29">+R94/P94</f>
        <v>37.4</v>
      </c>
      <c r="U94" s="7">
        <v>43101</v>
      </c>
      <c r="V94" s="8">
        <v>3</v>
      </c>
      <c r="W94" s="131">
        <v>54.1</v>
      </c>
      <c r="X94" s="150">
        <v>153.5</v>
      </c>
      <c r="Y94" s="132">
        <f t="shared" ref="Y94:Y101" si="30">+X94/V94</f>
        <v>51.166666666666664</v>
      </c>
      <c r="AA94" s="159"/>
    </row>
    <row r="95" spans="2:27" x14ac:dyDescent="0.2">
      <c r="B95" s="6" t="s">
        <v>94</v>
      </c>
      <c r="C95" s="7">
        <v>43132</v>
      </c>
      <c r="D95" s="4">
        <v>4</v>
      </c>
      <c r="E95" s="9">
        <v>425.7</v>
      </c>
      <c r="F95" s="265">
        <v>941</v>
      </c>
      <c r="G95" s="132">
        <f t="shared" ref="G95:G105" si="31">+F95/D95</f>
        <v>235.25</v>
      </c>
      <c r="I95" s="7">
        <v>43132</v>
      </c>
      <c r="J95" s="4">
        <v>4</v>
      </c>
      <c r="K95" s="9">
        <v>467.5</v>
      </c>
      <c r="L95" s="133">
        <v>658</v>
      </c>
      <c r="M95" s="132">
        <f t="shared" si="28"/>
        <v>164.5</v>
      </c>
      <c r="N95" s="6"/>
      <c r="O95" s="7">
        <v>43132</v>
      </c>
      <c r="P95" s="4">
        <v>5</v>
      </c>
      <c r="Q95" s="9">
        <v>326</v>
      </c>
      <c r="R95" s="10">
        <v>435</v>
      </c>
      <c r="S95" s="132">
        <f t="shared" si="29"/>
        <v>87</v>
      </c>
      <c r="U95" s="7">
        <v>43132</v>
      </c>
      <c r="V95" s="4">
        <v>3</v>
      </c>
      <c r="W95" s="9">
        <v>122.6</v>
      </c>
      <c r="X95" s="10">
        <v>146.5</v>
      </c>
      <c r="Y95" s="132">
        <f t="shared" si="30"/>
        <v>48.833333333333336</v>
      </c>
      <c r="AA95" s="159"/>
    </row>
    <row r="96" spans="2:27" x14ac:dyDescent="0.2">
      <c r="B96" s="6"/>
      <c r="C96" s="7">
        <v>43160</v>
      </c>
      <c r="D96" s="4">
        <v>4</v>
      </c>
      <c r="E96" s="9">
        <v>792</v>
      </c>
      <c r="F96" s="265">
        <v>1125</v>
      </c>
      <c r="G96" s="132">
        <f t="shared" si="31"/>
        <v>281.25</v>
      </c>
      <c r="I96" s="7">
        <v>43160</v>
      </c>
      <c r="J96" s="4">
        <v>4</v>
      </c>
      <c r="K96" s="9">
        <v>489.58</v>
      </c>
      <c r="L96" s="133">
        <v>643</v>
      </c>
      <c r="M96" s="132">
        <f t="shared" si="28"/>
        <v>160.75</v>
      </c>
      <c r="N96" s="6"/>
      <c r="O96" s="7">
        <v>43160</v>
      </c>
      <c r="P96" s="4">
        <v>5</v>
      </c>
      <c r="Q96" s="9">
        <v>335.5</v>
      </c>
      <c r="R96" s="10">
        <v>560</v>
      </c>
      <c r="S96" s="132">
        <f t="shared" si="29"/>
        <v>112</v>
      </c>
      <c r="U96" s="7">
        <v>43160</v>
      </c>
      <c r="V96" s="4">
        <v>3</v>
      </c>
      <c r="W96" s="9">
        <v>122.1</v>
      </c>
      <c r="X96" s="10">
        <v>143</v>
      </c>
      <c r="Y96" s="132">
        <f t="shared" si="30"/>
        <v>47.666666666666664</v>
      </c>
      <c r="AA96" s="159"/>
    </row>
    <row r="97" spans="2:27" x14ac:dyDescent="0.2">
      <c r="B97" s="6"/>
      <c r="C97" s="7">
        <v>43191</v>
      </c>
      <c r="D97" s="4">
        <v>4</v>
      </c>
      <c r="E97" s="9">
        <v>745.6</v>
      </c>
      <c r="F97" s="221">
        <v>1043</v>
      </c>
      <c r="G97" s="132">
        <f t="shared" si="31"/>
        <v>260.75</v>
      </c>
      <c r="I97" s="7">
        <v>43191</v>
      </c>
      <c r="J97" s="4">
        <v>4</v>
      </c>
      <c r="K97" s="9">
        <v>517.75</v>
      </c>
      <c r="L97" s="133">
        <v>586</v>
      </c>
      <c r="M97" s="132">
        <f t="shared" si="28"/>
        <v>146.5</v>
      </c>
      <c r="N97" s="6"/>
      <c r="O97" s="7">
        <v>43191</v>
      </c>
      <c r="P97" s="4">
        <v>5</v>
      </c>
      <c r="Q97" s="9">
        <v>440</v>
      </c>
      <c r="R97" s="10">
        <v>570</v>
      </c>
      <c r="S97" s="132">
        <f t="shared" si="29"/>
        <v>114</v>
      </c>
      <c r="U97" s="7">
        <v>43191</v>
      </c>
      <c r="V97" s="4">
        <v>3</v>
      </c>
      <c r="W97" s="9">
        <f>0.5*260</f>
        <v>130</v>
      </c>
      <c r="X97" s="10">
        <f>0.5*315</f>
        <v>157.5</v>
      </c>
      <c r="Y97" s="132">
        <f t="shared" si="30"/>
        <v>52.5</v>
      </c>
      <c r="AA97" s="159"/>
    </row>
    <row r="98" spans="2:27" x14ac:dyDescent="0.2">
      <c r="B98" s="6" t="s">
        <v>94</v>
      </c>
      <c r="C98" s="7">
        <v>43221</v>
      </c>
      <c r="D98" s="4">
        <v>4</v>
      </c>
      <c r="E98" s="9">
        <v>668.1</v>
      </c>
      <c r="F98" s="221">
        <v>949</v>
      </c>
      <c r="G98" s="132">
        <f t="shared" si="31"/>
        <v>237.25</v>
      </c>
      <c r="I98" s="7">
        <v>43221</v>
      </c>
      <c r="J98" s="4">
        <v>4</v>
      </c>
      <c r="K98" s="9">
        <v>576.25</v>
      </c>
      <c r="L98" s="133">
        <v>690</v>
      </c>
      <c r="M98" s="132">
        <f t="shared" si="28"/>
        <v>172.5</v>
      </c>
      <c r="N98" s="6"/>
      <c r="O98" s="7">
        <v>43221</v>
      </c>
      <c r="P98" s="4">
        <v>5</v>
      </c>
      <c r="Q98" s="9">
        <v>491</v>
      </c>
      <c r="R98" s="10">
        <v>654</v>
      </c>
      <c r="S98" s="132">
        <f t="shared" si="29"/>
        <v>130.80000000000001</v>
      </c>
      <c r="U98" s="7">
        <v>43221</v>
      </c>
      <c r="V98" s="4">
        <v>3</v>
      </c>
      <c r="W98" s="9">
        <f>0.5*230.6</f>
        <v>115.3</v>
      </c>
      <c r="X98" s="10">
        <f>0.5*274</f>
        <v>137</v>
      </c>
      <c r="Y98" s="132">
        <f t="shared" si="30"/>
        <v>45.666666666666664</v>
      </c>
      <c r="AA98" s="159"/>
    </row>
    <row r="99" spans="2:27" x14ac:dyDescent="0.2">
      <c r="B99" s="6"/>
      <c r="C99" s="7">
        <v>43252</v>
      </c>
      <c r="D99" s="4">
        <v>4</v>
      </c>
      <c r="E99" s="9">
        <v>636.29999999999995</v>
      </c>
      <c r="F99" s="221">
        <v>939</v>
      </c>
      <c r="G99" s="132">
        <f t="shared" si="31"/>
        <v>234.75</v>
      </c>
      <c r="I99" s="7">
        <v>43252</v>
      </c>
      <c r="J99" s="4">
        <v>4</v>
      </c>
      <c r="K99" s="9">
        <v>490.35</v>
      </c>
      <c r="L99" s="133">
        <v>580</v>
      </c>
      <c r="M99" s="132">
        <f t="shared" si="28"/>
        <v>145</v>
      </c>
      <c r="N99" s="6"/>
      <c r="O99" s="7">
        <v>43252</v>
      </c>
      <c r="P99" s="4">
        <v>5</v>
      </c>
      <c r="Q99" s="9">
        <v>1363.5</v>
      </c>
      <c r="R99" s="10">
        <v>710</v>
      </c>
      <c r="S99" s="132">
        <f t="shared" si="29"/>
        <v>142</v>
      </c>
      <c r="U99" s="7">
        <v>43252</v>
      </c>
      <c r="V99" s="4">
        <v>3</v>
      </c>
      <c r="W99" s="9">
        <f>0.5*265.5</f>
        <v>132.75</v>
      </c>
      <c r="X99" s="10">
        <f>0.5*311</f>
        <v>155.5</v>
      </c>
      <c r="Y99" s="132">
        <f t="shared" si="30"/>
        <v>51.833333333333336</v>
      </c>
      <c r="AA99" s="159"/>
    </row>
    <row r="100" spans="2:27" x14ac:dyDescent="0.2">
      <c r="B100" s="6"/>
      <c r="C100" s="7">
        <v>43282</v>
      </c>
      <c r="D100" s="4">
        <v>4</v>
      </c>
      <c r="E100" s="9">
        <v>490.6</v>
      </c>
      <c r="F100" s="10">
        <v>709</v>
      </c>
      <c r="G100" s="132">
        <f t="shared" si="31"/>
        <v>177.25</v>
      </c>
      <c r="I100" s="7">
        <v>43282</v>
      </c>
      <c r="J100" s="4">
        <v>4</v>
      </c>
      <c r="K100" s="9">
        <v>505.95</v>
      </c>
      <c r="L100" s="133">
        <v>602</v>
      </c>
      <c r="M100" s="132">
        <f t="shared" si="28"/>
        <v>150.5</v>
      </c>
      <c r="N100" s="6"/>
      <c r="O100" s="7">
        <v>43282</v>
      </c>
      <c r="P100" s="4">
        <v>5</v>
      </c>
      <c r="Q100" s="9">
        <v>410</v>
      </c>
      <c r="R100" s="10">
        <v>523</v>
      </c>
      <c r="S100" s="132">
        <f t="shared" si="29"/>
        <v>104.6</v>
      </c>
      <c r="U100" s="7">
        <v>43282</v>
      </c>
      <c r="V100" s="4">
        <v>3</v>
      </c>
      <c r="W100" s="9">
        <v>177.9</v>
      </c>
      <c r="X100" s="10">
        <v>197.67</v>
      </c>
      <c r="Y100" s="132">
        <f t="shared" si="30"/>
        <v>65.89</v>
      </c>
      <c r="AA100" s="159"/>
    </row>
    <row r="101" spans="2:27" x14ac:dyDescent="0.2">
      <c r="B101" s="6"/>
      <c r="C101" s="7">
        <v>43313</v>
      </c>
      <c r="D101" s="4">
        <v>4</v>
      </c>
      <c r="E101" s="9">
        <v>626.20000000000005</v>
      </c>
      <c r="F101" s="10">
        <v>911</v>
      </c>
      <c r="G101" s="132">
        <f t="shared" si="31"/>
        <v>227.75</v>
      </c>
      <c r="I101" s="7">
        <v>43313</v>
      </c>
      <c r="J101" s="4">
        <v>4</v>
      </c>
      <c r="K101" s="9">
        <v>474.8</v>
      </c>
      <c r="L101" s="152">
        <v>551</v>
      </c>
      <c r="M101" s="132">
        <f t="shared" si="28"/>
        <v>137.75</v>
      </c>
      <c r="N101" s="6"/>
      <c r="O101" s="7">
        <v>43313</v>
      </c>
      <c r="P101" s="4">
        <v>5</v>
      </c>
      <c r="Q101" s="9">
        <v>524.5</v>
      </c>
      <c r="R101" s="10">
        <v>736</v>
      </c>
      <c r="S101" s="132">
        <f t="shared" si="29"/>
        <v>147.19999999999999</v>
      </c>
      <c r="U101" s="7">
        <v>43313</v>
      </c>
      <c r="V101" s="4">
        <v>3</v>
      </c>
      <c r="W101" s="9">
        <v>278.2</v>
      </c>
      <c r="X101" s="10">
        <v>322</v>
      </c>
      <c r="Y101" s="132">
        <f t="shared" si="30"/>
        <v>107.33333333333333</v>
      </c>
      <c r="AA101" s="159"/>
    </row>
    <row r="102" spans="2:27" x14ac:dyDescent="0.2">
      <c r="B102" s="6"/>
      <c r="C102" s="7">
        <v>43344</v>
      </c>
      <c r="D102" s="4">
        <v>4</v>
      </c>
      <c r="E102" s="9">
        <v>600.1</v>
      </c>
      <c r="F102" s="10">
        <v>873</v>
      </c>
      <c r="G102" s="132">
        <f t="shared" si="31"/>
        <v>218.25</v>
      </c>
      <c r="I102" s="7">
        <v>43344</v>
      </c>
      <c r="J102" s="4">
        <v>4</v>
      </c>
      <c r="K102" s="9">
        <v>662.25</v>
      </c>
      <c r="L102" s="133">
        <v>789</v>
      </c>
      <c r="M102" s="132">
        <f t="shared" si="28"/>
        <v>197.25</v>
      </c>
      <c r="N102" s="6"/>
      <c r="O102" s="7">
        <v>43344</v>
      </c>
      <c r="P102" s="4">
        <v>5</v>
      </c>
      <c r="Q102" s="9">
        <v>553.5</v>
      </c>
      <c r="R102" s="10">
        <v>779</v>
      </c>
      <c r="S102" s="162">
        <f t="shared" si="29"/>
        <v>155.80000000000001</v>
      </c>
      <c r="U102" s="7">
        <v>43344</v>
      </c>
      <c r="V102" s="4">
        <v>3</v>
      </c>
      <c r="W102" s="9">
        <v>122.6</v>
      </c>
      <c r="X102" s="10">
        <v>146.5</v>
      </c>
      <c r="Y102" s="132">
        <f t="shared" ref="Y102:Y104" si="32">+X102/V102</f>
        <v>48.833333333333336</v>
      </c>
      <c r="AA102" s="159"/>
    </row>
    <row r="103" spans="2:27" x14ac:dyDescent="0.2">
      <c r="B103" s="6"/>
      <c r="C103" s="7">
        <v>43374</v>
      </c>
      <c r="D103" s="4">
        <v>4</v>
      </c>
      <c r="E103" s="9">
        <v>752.7</v>
      </c>
      <c r="F103" s="10">
        <v>1068</v>
      </c>
      <c r="G103" s="132">
        <f t="shared" si="31"/>
        <v>267</v>
      </c>
      <c r="I103" s="7">
        <v>43374</v>
      </c>
      <c r="J103" s="4">
        <v>4</v>
      </c>
      <c r="K103" s="9">
        <v>489.58</v>
      </c>
      <c r="L103" s="133">
        <v>643</v>
      </c>
      <c r="M103" s="132">
        <f t="shared" ref="M103:M105" si="33">+L103/J103</f>
        <v>160.75</v>
      </c>
      <c r="N103" s="6"/>
      <c r="O103" s="7">
        <v>43374</v>
      </c>
      <c r="P103" s="4">
        <v>5</v>
      </c>
      <c r="Q103" s="9">
        <v>584.9</v>
      </c>
      <c r="R103" s="10">
        <v>696</v>
      </c>
      <c r="S103" s="132">
        <f t="shared" si="29"/>
        <v>139.19999999999999</v>
      </c>
      <c r="U103" s="7">
        <v>43374</v>
      </c>
      <c r="V103" s="4">
        <v>3</v>
      </c>
      <c r="W103" s="9">
        <v>122.1</v>
      </c>
      <c r="X103" s="10">
        <v>143</v>
      </c>
      <c r="Y103" s="132">
        <f t="shared" si="32"/>
        <v>47.666666666666664</v>
      </c>
      <c r="AA103" s="159"/>
    </row>
    <row r="104" spans="2:27" x14ac:dyDescent="0.2">
      <c r="B104" s="6"/>
      <c r="C104" s="7">
        <v>43405</v>
      </c>
      <c r="D104" s="4">
        <v>4</v>
      </c>
      <c r="E104" s="9">
        <v>737.4</v>
      </c>
      <c r="F104" s="10">
        <v>1069</v>
      </c>
      <c r="G104" s="132">
        <f t="shared" si="31"/>
        <v>267.25</v>
      </c>
      <c r="I104" s="7">
        <v>43405</v>
      </c>
      <c r="J104" s="4">
        <v>4</v>
      </c>
      <c r="K104" s="9">
        <v>517.75</v>
      </c>
      <c r="L104" s="133">
        <v>586</v>
      </c>
      <c r="M104" s="132">
        <f t="shared" si="33"/>
        <v>146.5</v>
      </c>
      <c r="N104" s="6"/>
      <c r="O104" s="7">
        <v>43405</v>
      </c>
      <c r="P104" s="4">
        <v>5</v>
      </c>
      <c r="Q104" s="9">
        <v>525.15</v>
      </c>
      <c r="R104" s="10">
        <v>612</v>
      </c>
      <c r="S104" s="132">
        <f t="shared" si="29"/>
        <v>122.4</v>
      </c>
      <c r="U104" s="7">
        <v>43405</v>
      </c>
      <c r="V104" s="4">
        <v>3</v>
      </c>
      <c r="W104" s="9">
        <f>0.5*260</f>
        <v>130</v>
      </c>
      <c r="X104" s="10">
        <f>0.5*315</f>
        <v>157.5</v>
      </c>
      <c r="Y104" s="132">
        <f t="shared" si="32"/>
        <v>52.5</v>
      </c>
      <c r="AA104" s="159"/>
    </row>
    <row r="105" spans="2:27" ht="12.75" thickBot="1" x14ac:dyDescent="0.25">
      <c r="B105" s="6"/>
      <c r="C105" s="7">
        <v>43435</v>
      </c>
      <c r="D105" s="14">
        <v>4</v>
      </c>
      <c r="E105" s="13">
        <v>687.6</v>
      </c>
      <c r="F105" s="15">
        <v>996</v>
      </c>
      <c r="G105" s="132">
        <f t="shared" si="31"/>
        <v>249</v>
      </c>
      <c r="I105" s="7">
        <v>43435</v>
      </c>
      <c r="J105" s="14">
        <v>4</v>
      </c>
      <c r="K105" s="9">
        <v>576.25</v>
      </c>
      <c r="L105" s="133">
        <v>690</v>
      </c>
      <c r="M105" s="132">
        <f t="shared" si="33"/>
        <v>172.5</v>
      </c>
      <c r="N105" s="6"/>
      <c r="O105" s="7">
        <v>43435</v>
      </c>
      <c r="P105" s="351" t="s">
        <v>117</v>
      </c>
      <c r="Q105" s="352"/>
      <c r="R105" s="352"/>
      <c r="S105" s="353"/>
      <c r="U105" s="7">
        <v>43435</v>
      </c>
      <c r="V105" s="351" t="s">
        <v>116</v>
      </c>
      <c r="W105" s="352"/>
      <c r="X105" s="352"/>
      <c r="Y105" s="357"/>
      <c r="AA105" s="159"/>
    </row>
    <row r="106" spans="2:27" ht="12.75" thickBot="1" x14ac:dyDescent="0.25">
      <c r="B106" s="6"/>
      <c r="C106" s="140" t="s">
        <v>2</v>
      </c>
      <c r="D106" s="141">
        <f>AVERAGE(D94:D105)</f>
        <v>4</v>
      </c>
      <c r="E106" s="141">
        <f>AVERAGE(E94:E105)</f>
        <v>661.6</v>
      </c>
      <c r="F106" s="155">
        <f>AVERAGE(F94:F105)</f>
        <v>980.5</v>
      </c>
      <c r="G106" s="157">
        <f>AVERAGE(G94:G105)</f>
        <v>245.125</v>
      </c>
      <c r="H106" s="143"/>
      <c r="I106" s="157" t="s">
        <v>2</v>
      </c>
      <c r="J106" s="158">
        <f>AVERAGE(J94:J105)</f>
        <v>4</v>
      </c>
      <c r="K106" s="141">
        <f>AVERAGE(K94:K105)</f>
        <v>513.76749999999993</v>
      </c>
      <c r="L106" s="155">
        <f>AVERAGE(L94:L105)</f>
        <v>633</v>
      </c>
      <c r="M106" s="157">
        <f>AVERAGE(M94:M105)</f>
        <v>158.25</v>
      </c>
      <c r="N106" s="143"/>
      <c r="O106" s="157" t="s">
        <v>2</v>
      </c>
      <c r="P106" s="158">
        <f>AVERAGE(P94:P105)</f>
        <v>5</v>
      </c>
      <c r="Q106" s="141">
        <f>AVERAGE(Q94:Q105)</f>
        <v>516.95909090909083</v>
      </c>
      <c r="R106" s="155">
        <f>AVERAGE(R94:R105)</f>
        <v>587.4545454545455</v>
      </c>
      <c r="S106" s="157">
        <f>AVERAGE(S94:S105)</f>
        <v>117.4909090909091</v>
      </c>
      <c r="T106" s="143"/>
      <c r="U106" s="157" t="s">
        <v>2</v>
      </c>
      <c r="V106" s="158">
        <f>AVERAGE(V94:V105)</f>
        <v>3</v>
      </c>
      <c r="W106" s="141">
        <f>AVERAGE(W94:W105)</f>
        <v>137.05909090909088</v>
      </c>
      <c r="X106" s="141">
        <f>AVERAGE(X94:X105)</f>
        <v>169.06090909090909</v>
      </c>
      <c r="Y106" s="141">
        <f>AVERAGE(Y94:Y105)</f>
        <v>56.353636363636355</v>
      </c>
      <c r="AA106" s="159"/>
    </row>
    <row r="107" spans="2:27" x14ac:dyDescent="0.2">
      <c r="B107" s="6"/>
      <c r="C107" s="17"/>
      <c r="N107" s="6"/>
      <c r="O107" s="17"/>
      <c r="U107" s="6" t="s">
        <v>27</v>
      </c>
    </row>
    <row r="108" spans="2:27" ht="12.75" thickBot="1" x14ac:dyDescent="0.25">
      <c r="B108" s="6"/>
      <c r="C108" s="17"/>
      <c r="N108" s="6"/>
      <c r="O108" s="17"/>
    </row>
    <row r="109" spans="2:27" ht="16.5" thickBot="1" x14ac:dyDescent="0.3">
      <c r="B109" s="6"/>
      <c r="C109" s="362" t="s">
        <v>110</v>
      </c>
      <c r="D109" s="363"/>
      <c r="E109" s="363"/>
      <c r="F109" s="363"/>
      <c r="G109" s="364"/>
      <c r="I109" s="362" t="s">
        <v>110</v>
      </c>
      <c r="J109" s="363"/>
      <c r="K109" s="363"/>
      <c r="L109" s="363"/>
      <c r="M109" s="364"/>
      <c r="N109" s="6"/>
      <c r="O109" s="362" t="s">
        <v>110</v>
      </c>
      <c r="P109" s="363"/>
      <c r="Q109" s="363"/>
      <c r="R109" s="363"/>
      <c r="S109" s="364"/>
      <c r="U109" s="362" t="s">
        <v>110</v>
      </c>
      <c r="V109" s="363"/>
      <c r="W109" s="363"/>
      <c r="X109" s="363"/>
      <c r="Y109" s="364"/>
    </row>
    <row r="110" spans="2:27" ht="15" x14ac:dyDescent="0.25">
      <c r="B110" s="6"/>
      <c r="C110" s="365" t="s">
        <v>28</v>
      </c>
      <c r="D110" s="365"/>
      <c r="E110" s="365"/>
      <c r="F110" s="365"/>
      <c r="G110" s="365"/>
      <c r="I110" s="365" t="s">
        <v>29</v>
      </c>
      <c r="J110" s="365"/>
      <c r="K110" s="365"/>
      <c r="L110" s="365"/>
      <c r="M110" s="365"/>
      <c r="N110" s="6"/>
      <c r="O110" s="365" t="s">
        <v>30</v>
      </c>
      <c r="P110" s="365"/>
      <c r="Q110" s="365"/>
      <c r="R110" s="365"/>
      <c r="S110" s="365"/>
      <c r="U110" s="365" t="s">
        <v>31</v>
      </c>
      <c r="V110" s="365"/>
      <c r="W110" s="365"/>
      <c r="X110" s="365"/>
      <c r="Y110" s="365"/>
    </row>
    <row r="111" spans="2:27" ht="12.75" thickBot="1" x14ac:dyDescent="0.25">
      <c r="B111" s="6"/>
      <c r="C111" s="129"/>
      <c r="D111" s="129"/>
      <c r="E111" s="129"/>
      <c r="F111" s="129"/>
      <c r="G111" s="130"/>
      <c r="I111" s="129"/>
      <c r="J111" s="129"/>
      <c r="K111" s="129"/>
      <c r="L111" s="129"/>
      <c r="M111" s="130"/>
      <c r="N111" s="6"/>
      <c r="O111" s="129"/>
      <c r="P111" s="129"/>
      <c r="Q111" s="129"/>
      <c r="R111" s="129"/>
      <c r="S111" s="130"/>
      <c r="U111" s="129"/>
      <c r="V111" s="129"/>
      <c r="W111" s="129"/>
      <c r="X111" s="129"/>
      <c r="Y111" s="130"/>
    </row>
    <row r="112" spans="2:27" x14ac:dyDescent="0.2">
      <c r="B112" s="6"/>
      <c r="C112" s="366" t="s">
        <v>1</v>
      </c>
      <c r="D112" s="358" t="s">
        <v>0</v>
      </c>
      <c r="E112" s="358" t="s">
        <v>7</v>
      </c>
      <c r="F112" s="368" t="s">
        <v>8</v>
      </c>
      <c r="G112" s="360" t="s">
        <v>9</v>
      </c>
      <c r="I112" s="366" t="s">
        <v>1</v>
      </c>
      <c r="J112" s="358" t="s">
        <v>0</v>
      </c>
      <c r="K112" s="358" t="s">
        <v>7</v>
      </c>
      <c r="L112" s="368" t="s">
        <v>8</v>
      </c>
      <c r="M112" s="360" t="s">
        <v>9</v>
      </c>
      <c r="N112" s="6"/>
      <c r="O112" s="366" t="s">
        <v>1</v>
      </c>
      <c r="P112" s="358" t="s">
        <v>0</v>
      </c>
      <c r="Q112" s="358" t="s">
        <v>7</v>
      </c>
      <c r="R112" s="368" t="s">
        <v>8</v>
      </c>
      <c r="S112" s="360" t="s">
        <v>9</v>
      </c>
      <c r="U112" s="366" t="s">
        <v>1</v>
      </c>
      <c r="V112" s="358" t="s">
        <v>0</v>
      </c>
      <c r="W112" s="358" t="s">
        <v>7</v>
      </c>
      <c r="X112" s="368" t="s">
        <v>8</v>
      </c>
      <c r="Y112" s="360" t="s">
        <v>9</v>
      </c>
    </row>
    <row r="113" spans="2:27" ht="70.5" customHeight="1" thickBot="1" x14ac:dyDescent="0.25">
      <c r="B113" s="6"/>
      <c r="C113" s="367"/>
      <c r="D113" s="359"/>
      <c r="E113" s="359"/>
      <c r="F113" s="369"/>
      <c r="G113" s="361"/>
      <c r="I113" s="367"/>
      <c r="J113" s="359"/>
      <c r="K113" s="359"/>
      <c r="L113" s="369"/>
      <c r="M113" s="361"/>
      <c r="N113" s="6"/>
      <c r="O113" s="367"/>
      <c r="P113" s="359"/>
      <c r="Q113" s="359"/>
      <c r="R113" s="369"/>
      <c r="S113" s="361"/>
      <c r="U113" s="367"/>
      <c r="V113" s="359"/>
      <c r="W113" s="359"/>
      <c r="X113" s="369"/>
      <c r="Y113" s="361"/>
    </row>
    <row r="114" spans="2:27" x14ac:dyDescent="0.2">
      <c r="B114" s="6"/>
      <c r="C114" s="7">
        <v>43101</v>
      </c>
      <c r="D114" s="8">
        <v>5</v>
      </c>
      <c r="E114" s="131">
        <v>310.7</v>
      </c>
      <c r="F114" s="150">
        <v>480</v>
      </c>
      <c r="G114" s="132">
        <f t="shared" ref="G114:G120" si="34">+F114/D114</f>
        <v>96</v>
      </c>
      <c r="I114" s="7">
        <v>43101</v>
      </c>
      <c r="J114" s="8">
        <v>6</v>
      </c>
      <c r="K114" s="131">
        <v>237.8</v>
      </c>
      <c r="L114" s="150">
        <v>394</v>
      </c>
      <c r="M114" s="132">
        <f t="shared" ref="M114:M120" si="35">+L114/J114</f>
        <v>65.666666666666671</v>
      </c>
      <c r="N114" s="6"/>
      <c r="O114" s="7">
        <v>43101</v>
      </c>
      <c r="P114" s="8">
        <v>6</v>
      </c>
      <c r="Q114" s="131">
        <v>96.2</v>
      </c>
      <c r="R114" s="150">
        <v>248</v>
      </c>
      <c r="S114" s="132">
        <f t="shared" ref="S114:S119" si="36">+R114/P114</f>
        <v>41.333333333333336</v>
      </c>
      <c r="U114" s="7">
        <v>43101</v>
      </c>
      <c r="V114" s="8">
        <v>5</v>
      </c>
      <c r="W114" s="131">
        <v>220</v>
      </c>
      <c r="X114" s="150">
        <v>293</v>
      </c>
      <c r="Y114" s="132">
        <f t="shared" ref="Y114:Y119" si="37">+X114/V114</f>
        <v>58.6</v>
      </c>
      <c r="AA114" s="159"/>
    </row>
    <row r="115" spans="2:27" x14ac:dyDescent="0.2">
      <c r="B115" s="6" t="s">
        <v>94</v>
      </c>
      <c r="C115" s="7">
        <v>43132</v>
      </c>
      <c r="D115" s="4">
        <v>5</v>
      </c>
      <c r="E115" s="9">
        <v>355.1</v>
      </c>
      <c r="F115" s="10">
        <v>467</v>
      </c>
      <c r="G115" s="132">
        <f t="shared" si="34"/>
        <v>93.4</v>
      </c>
      <c r="I115" s="7">
        <v>43132</v>
      </c>
      <c r="J115" s="4">
        <v>6</v>
      </c>
      <c r="K115" s="9">
        <v>299.8</v>
      </c>
      <c r="L115" s="10">
        <v>386</v>
      </c>
      <c r="M115" s="132">
        <f t="shared" si="35"/>
        <v>64.333333333333329</v>
      </c>
      <c r="N115" s="6"/>
      <c r="O115" s="7">
        <v>43132</v>
      </c>
      <c r="P115" s="4">
        <v>6</v>
      </c>
      <c r="Q115" s="9">
        <v>206.5</v>
      </c>
      <c r="R115" s="10">
        <v>279</v>
      </c>
      <c r="S115" s="132">
        <f t="shared" si="36"/>
        <v>46.5</v>
      </c>
      <c r="U115" s="7">
        <v>43132</v>
      </c>
      <c r="V115" s="4">
        <v>5</v>
      </c>
      <c r="W115" s="9">
        <v>454.5</v>
      </c>
      <c r="X115" s="10">
        <v>830</v>
      </c>
      <c r="Y115" s="132">
        <f t="shared" si="37"/>
        <v>166</v>
      </c>
      <c r="AA115" s="159"/>
    </row>
    <row r="116" spans="2:27" x14ac:dyDescent="0.2">
      <c r="B116" s="6"/>
      <c r="C116" s="7">
        <v>43160</v>
      </c>
      <c r="D116" s="4">
        <v>5</v>
      </c>
      <c r="E116" s="9">
        <v>379.5</v>
      </c>
      <c r="F116" s="10">
        <v>500</v>
      </c>
      <c r="G116" s="132">
        <f t="shared" si="34"/>
        <v>100</v>
      </c>
      <c r="I116" s="7">
        <v>43160</v>
      </c>
      <c r="J116" s="4">
        <v>6</v>
      </c>
      <c r="K116" s="9">
        <v>309.3</v>
      </c>
      <c r="L116" s="10">
        <v>400</v>
      </c>
      <c r="M116" s="132">
        <f t="shared" si="35"/>
        <v>66.666666666666671</v>
      </c>
      <c r="N116" s="6"/>
      <c r="O116" s="7">
        <v>43160</v>
      </c>
      <c r="P116" s="4">
        <v>6</v>
      </c>
      <c r="Q116" s="9">
        <v>220</v>
      </c>
      <c r="R116" s="10">
        <v>293</v>
      </c>
      <c r="S116" s="132">
        <f t="shared" si="36"/>
        <v>48.833333333333336</v>
      </c>
      <c r="U116" s="7">
        <v>43160</v>
      </c>
      <c r="V116" s="4">
        <v>5</v>
      </c>
      <c r="W116" s="9">
        <v>610</v>
      </c>
      <c r="X116" s="10">
        <v>1100</v>
      </c>
      <c r="Y116" s="132">
        <f t="shared" si="37"/>
        <v>220</v>
      </c>
      <c r="AA116" s="159"/>
    </row>
    <row r="117" spans="2:27" x14ac:dyDescent="0.2">
      <c r="B117" s="6"/>
      <c r="C117" s="7">
        <v>43191</v>
      </c>
      <c r="D117" s="4">
        <v>5</v>
      </c>
      <c r="E117" s="9">
        <v>345.4</v>
      </c>
      <c r="F117" s="10">
        <v>444</v>
      </c>
      <c r="G117" s="132">
        <f t="shared" si="34"/>
        <v>88.8</v>
      </c>
      <c r="I117" s="7">
        <v>43191</v>
      </c>
      <c r="J117" s="4">
        <v>6</v>
      </c>
      <c r="K117" s="9">
        <v>282.89999999999998</v>
      </c>
      <c r="L117" s="227">
        <v>356</v>
      </c>
      <c r="M117" s="132">
        <f t="shared" si="35"/>
        <v>59.333333333333336</v>
      </c>
      <c r="N117" s="6"/>
      <c r="O117" s="7">
        <v>43191</v>
      </c>
      <c r="P117" s="4">
        <v>6</v>
      </c>
      <c r="Q117" s="9">
        <v>270.3</v>
      </c>
      <c r="R117" s="10">
        <v>367</v>
      </c>
      <c r="S117" s="132">
        <f t="shared" si="36"/>
        <v>61.166666666666664</v>
      </c>
      <c r="U117" s="7">
        <v>43191</v>
      </c>
      <c r="V117" s="4">
        <v>5</v>
      </c>
      <c r="W117" s="9">
        <v>691.5</v>
      </c>
      <c r="X117" s="10">
        <v>1203</v>
      </c>
      <c r="Y117" s="132">
        <f t="shared" si="37"/>
        <v>240.6</v>
      </c>
      <c r="AA117" s="159"/>
    </row>
    <row r="118" spans="2:27" x14ac:dyDescent="0.2">
      <c r="B118" s="6" t="s">
        <v>94</v>
      </c>
      <c r="C118" s="7">
        <v>43221</v>
      </c>
      <c r="D118" s="4">
        <v>5</v>
      </c>
      <c r="E118" s="9">
        <v>308.89999999999998</v>
      </c>
      <c r="F118" s="10">
        <v>412</v>
      </c>
      <c r="G118" s="132">
        <f t="shared" si="34"/>
        <v>82.4</v>
      </c>
      <c r="I118" s="7">
        <v>43221</v>
      </c>
      <c r="J118" s="4">
        <v>6</v>
      </c>
      <c r="K118" s="9">
        <v>291.60000000000002</v>
      </c>
      <c r="L118" s="10">
        <v>388</v>
      </c>
      <c r="M118" s="132">
        <f t="shared" si="35"/>
        <v>64.666666666666671</v>
      </c>
      <c r="N118" s="6"/>
      <c r="O118" s="7">
        <v>43221</v>
      </c>
      <c r="P118" s="4">
        <v>6</v>
      </c>
      <c r="Q118" s="9">
        <v>250.8</v>
      </c>
      <c r="R118" s="10">
        <v>348</v>
      </c>
      <c r="S118" s="132">
        <f t="shared" si="36"/>
        <v>58</v>
      </c>
      <c r="U118" s="7">
        <v>43221</v>
      </c>
      <c r="V118" s="4">
        <v>5</v>
      </c>
      <c r="W118" s="9">
        <v>609.5</v>
      </c>
      <c r="X118" s="10">
        <v>1061</v>
      </c>
      <c r="Y118" s="132">
        <f t="shared" si="37"/>
        <v>212.2</v>
      </c>
      <c r="AA118" s="159"/>
    </row>
    <row r="119" spans="2:27" x14ac:dyDescent="0.2">
      <c r="B119" s="6"/>
      <c r="C119" s="7">
        <v>43252</v>
      </c>
      <c r="D119" s="4">
        <v>5</v>
      </c>
      <c r="E119" s="9">
        <v>307.8</v>
      </c>
      <c r="F119" s="10">
        <v>412</v>
      </c>
      <c r="G119" s="132">
        <f t="shared" si="34"/>
        <v>82.4</v>
      </c>
      <c r="I119" s="7">
        <v>43252</v>
      </c>
      <c r="J119" s="4">
        <v>6</v>
      </c>
      <c r="K119" s="222">
        <v>499.1</v>
      </c>
      <c r="L119" s="4">
        <v>647</v>
      </c>
      <c r="M119" s="178">
        <f t="shared" si="35"/>
        <v>107.83333333333333</v>
      </c>
      <c r="N119" s="6"/>
      <c r="O119" s="7">
        <v>43252</v>
      </c>
      <c r="P119" s="4">
        <v>6</v>
      </c>
      <c r="Q119" s="9">
        <v>222.2</v>
      </c>
      <c r="R119" s="10">
        <v>309</v>
      </c>
      <c r="S119" s="132">
        <f t="shared" si="36"/>
        <v>51.5</v>
      </c>
      <c r="U119" s="7">
        <v>43252</v>
      </c>
      <c r="V119" s="4">
        <v>5</v>
      </c>
      <c r="W119" s="9">
        <v>621</v>
      </c>
      <c r="X119" s="10">
        <v>1082</v>
      </c>
      <c r="Y119" s="132">
        <f t="shared" si="37"/>
        <v>216.4</v>
      </c>
      <c r="AA119" s="159"/>
    </row>
    <row r="120" spans="2:27" x14ac:dyDescent="0.2">
      <c r="B120" s="6"/>
      <c r="C120" s="7">
        <v>43282</v>
      </c>
      <c r="D120" s="4">
        <v>5</v>
      </c>
      <c r="E120" s="9">
        <v>336.7</v>
      </c>
      <c r="F120" s="10">
        <v>452.5</v>
      </c>
      <c r="G120" s="132">
        <f t="shared" si="34"/>
        <v>90.5</v>
      </c>
      <c r="I120" s="7">
        <v>43282</v>
      </c>
      <c r="J120" s="4">
        <v>6</v>
      </c>
      <c r="K120" s="9">
        <v>326.89999999999998</v>
      </c>
      <c r="L120" s="10">
        <v>393.6</v>
      </c>
      <c r="M120" s="292">
        <f t="shared" si="35"/>
        <v>65.600000000000009</v>
      </c>
      <c r="N120" s="6"/>
      <c r="O120" s="7">
        <v>43282</v>
      </c>
      <c r="P120" s="4">
        <v>6</v>
      </c>
      <c r="Q120" s="9">
        <v>270.3</v>
      </c>
      <c r="R120" s="10">
        <v>367</v>
      </c>
      <c r="S120" s="132">
        <f t="shared" ref="S120:S124" si="38">+R120/P120</f>
        <v>61.166666666666664</v>
      </c>
      <c r="U120" s="7">
        <v>43282</v>
      </c>
      <c r="V120" s="4">
        <v>5</v>
      </c>
      <c r="W120" s="9">
        <v>691.5</v>
      </c>
      <c r="X120" s="10">
        <v>1203</v>
      </c>
      <c r="Y120" s="132">
        <f t="shared" ref="Y120:Y123" si="39">+X120/V120</f>
        <v>240.6</v>
      </c>
      <c r="AA120" s="159"/>
    </row>
    <row r="121" spans="2:27" x14ac:dyDescent="0.2">
      <c r="B121" s="6"/>
      <c r="C121" s="7">
        <v>43313</v>
      </c>
      <c r="D121" s="4">
        <v>5</v>
      </c>
      <c r="E121" s="9">
        <v>399.2</v>
      </c>
      <c r="F121" s="10">
        <v>453.5</v>
      </c>
      <c r="G121" s="132">
        <f>+F121/D121</f>
        <v>90.7</v>
      </c>
      <c r="I121" s="7">
        <v>43313</v>
      </c>
      <c r="J121" s="4">
        <v>6</v>
      </c>
      <c r="K121" s="9">
        <v>326.89999999999998</v>
      </c>
      <c r="L121" s="10">
        <v>393.6</v>
      </c>
      <c r="M121" s="292">
        <f t="shared" ref="M121:M125" si="40">+L121/J121</f>
        <v>65.600000000000009</v>
      </c>
      <c r="N121" s="6"/>
      <c r="O121" s="7">
        <v>43313</v>
      </c>
      <c r="P121" s="11">
        <v>6</v>
      </c>
      <c r="Q121" s="9">
        <v>250.8</v>
      </c>
      <c r="R121" s="10">
        <v>348</v>
      </c>
      <c r="S121" s="132">
        <f t="shared" si="38"/>
        <v>58</v>
      </c>
      <c r="U121" s="7">
        <v>43313</v>
      </c>
      <c r="V121" s="4">
        <v>5</v>
      </c>
      <c r="W121" s="9">
        <v>609.5</v>
      </c>
      <c r="X121" s="10">
        <v>1061</v>
      </c>
      <c r="Y121" s="132">
        <f t="shared" si="39"/>
        <v>212.2</v>
      </c>
      <c r="AA121" s="159"/>
    </row>
    <row r="122" spans="2:27" x14ac:dyDescent="0.2">
      <c r="B122" s="6"/>
      <c r="C122" s="7">
        <v>43344</v>
      </c>
      <c r="D122" s="4">
        <v>5</v>
      </c>
      <c r="E122" s="9">
        <v>338.5</v>
      </c>
      <c r="F122" s="10">
        <v>444</v>
      </c>
      <c r="G122" s="132">
        <f>+F122/D122</f>
        <v>88.8</v>
      </c>
      <c r="I122" s="7">
        <v>43344</v>
      </c>
      <c r="J122" s="4">
        <v>6</v>
      </c>
      <c r="K122" s="222">
        <v>621.6</v>
      </c>
      <c r="L122" s="4">
        <v>401.27</v>
      </c>
      <c r="M122" s="48">
        <f t="shared" si="40"/>
        <v>66.87833333333333</v>
      </c>
      <c r="N122" s="6"/>
      <c r="O122" s="7">
        <v>43344</v>
      </c>
      <c r="P122" s="4">
        <v>6</v>
      </c>
      <c r="Q122" s="9">
        <v>222.2</v>
      </c>
      <c r="R122" s="10">
        <v>309</v>
      </c>
      <c r="S122" s="132">
        <f t="shared" si="38"/>
        <v>51.5</v>
      </c>
      <c r="U122" s="7">
        <v>43344</v>
      </c>
      <c r="V122" s="4">
        <v>5</v>
      </c>
      <c r="W122" s="9">
        <v>621</v>
      </c>
      <c r="X122" s="10">
        <v>1082</v>
      </c>
      <c r="Y122" s="132">
        <f t="shared" si="39"/>
        <v>216.4</v>
      </c>
      <c r="AA122" s="159"/>
    </row>
    <row r="123" spans="2:27" x14ac:dyDescent="0.2">
      <c r="B123" s="6"/>
      <c r="C123" s="7">
        <v>43374</v>
      </c>
      <c r="D123" s="4">
        <v>5</v>
      </c>
      <c r="E123" s="9">
        <v>340.2</v>
      </c>
      <c r="F123" s="10">
        <v>454</v>
      </c>
      <c r="G123" s="132">
        <f>+F123/D123</f>
        <v>90.8</v>
      </c>
      <c r="I123" s="7">
        <v>43374</v>
      </c>
      <c r="J123" s="4">
        <v>6</v>
      </c>
      <c r="K123" s="9">
        <v>309.3</v>
      </c>
      <c r="L123" s="10">
        <v>400</v>
      </c>
      <c r="M123" s="132">
        <f t="shared" si="40"/>
        <v>66.666666666666671</v>
      </c>
      <c r="N123" s="6"/>
      <c r="O123" s="7">
        <v>43374</v>
      </c>
      <c r="P123" s="4">
        <v>6</v>
      </c>
      <c r="Q123" s="9">
        <v>206.2</v>
      </c>
      <c r="R123" s="10">
        <v>287</v>
      </c>
      <c r="S123" s="132">
        <f t="shared" si="38"/>
        <v>47.833333333333336</v>
      </c>
      <c r="U123" s="7">
        <v>43374</v>
      </c>
      <c r="V123" s="4">
        <v>5</v>
      </c>
      <c r="W123" s="9">
        <v>696.85</v>
      </c>
      <c r="X123" s="10">
        <v>1138</v>
      </c>
      <c r="Y123" s="132">
        <f t="shared" si="39"/>
        <v>227.6</v>
      </c>
      <c r="AA123" s="159"/>
    </row>
    <row r="124" spans="2:27" x14ac:dyDescent="0.2">
      <c r="B124" s="6"/>
      <c r="C124" s="7">
        <v>43405</v>
      </c>
      <c r="D124" s="4">
        <v>5</v>
      </c>
      <c r="E124" s="9">
        <v>337.2</v>
      </c>
      <c r="F124" s="10">
        <v>448</v>
      </c>
      <c r="G124" s="132">
        <f>+F124/D124</f>
        <v>89.6</v>
      </c>
      <c r="I124" s="7">
        <v>43405</v>
      </c>
      <c r="J124" s="4">
        <v>6</v>
      </c>
      <c r="K124" s="9">
        <v>282.89999999999998</v>
      </c>
      <c r="L124" s="227">
        <v>356</v>
      </c>
      <c r="M124" s="132">
        <f t="shared" si="40"/>
        <v>59.333333333333336</v>
      </c>
      <c r="N124" s="6"/>
      <c r="O124" s="7">
        <v>43405</v>
      </c>
      <c r="P124" s="4">
        <v>6</v>
      </c>
      <c r="Q124" s="9">
        <v>204.7</v>
      </c>
      <c r="R124" s="10">
        <v>280</v>
      </c>
      <c r="S124" s="132">
        <f t="shared" si="38"/>
        <v>46.666666666666664</v>
      </c>
      <c r="U124" s="7">
        <v>43405</v>
      </c>
      <c r="V124" s="4">
        <v>5</v>
      </c>
      <c r="W124" s="9">
        <v>696.85</v>
      </c>
      <c r="X124" s="10">
        <v>1138</v>
      </c>
      <c r="Y124" s="132">
        <f t="shared" ref="Y124" si="41">+X124/V124</f>
        <v>227.6</v>
      </c>
      <c r="AA124" s="159"/>
    </row>
    <row r="125" spans="2:27" ht="15.75" customHeight="1" thickBot="1" x14ac:dyDescent="0.25">
      <c r="B125" s="6"/>
      <c r="C125" s="7">
        <v>43435</v>
      </c>
      <c r="D125" s="14">
        <v>5</v>
      </c>
      <c r="E125" s="9">
        <v>350.7</v>
      </c>
      <c r="F125" s="10">
        <v>459</v>
      </c>
      <c r="G125" s="153">
        <f>+F125/D125</f>
        <v>91.8</v>
      </c>
      <c r="I125" s="7">
        <v>43435</v>
      </c>
      <c r="J125" s="4">
        <v>6</v>
      </c>
      <c r="K125" s="9">
        <v>291.60000000000002</v>
      </c>
      <c r="L125" s="10">
        <v>388</v>
      </c>
      <c r="M125" s="132">
        <f t="shared" si="40"/>
        <v>64.666666666666671</v>
      </c>
      <c r="N125" s="6"/>
      <c r="O125" s="7">
        <v>43435</v>
      </c>
      <c r="P125" s="351" t="s">
        <v>118</v>
      </c>
      <c r="Q125" s="352"/>
      <c r="R125" s="352"/>
      <c r="S125" s="353"/>
      <c r="U125" s="7">
        <v>43435</v>
      </c>
      <c r="V125" s="354" t="s">
        <v>119</v>
      </c>
      <c r="W125" s="355"/>
      <c r="X125" s="355"/>
      <c r="Y125" s="356"/>
      <c r="AA125" s="159"/>
    </row>
    <row r="126" spans="2:27" ht="12.75" thickBot="1" x14ac:dyDescent="0.25">
      <c r="B126" s="6"/>
      <c r="C126" s="140" t="s">
        <v>2</v>
      </c>
      <c r="D126" s="141">
        <f>AVERAGE(D114:D125)</f>
        <v>5</v>
      </c>
      <c r="E126" s="141">
        <f>AVERAGE(E114:E125)</f>
        <v>342.49166666666662</v>
      </c>
      <c r="F126" s="155">
        <f>AVERAGE(F114:F125)</f>
        <v>452.16666666666669</v>
      </c>
      <c r="G126" s="157">
        <f>AVERAGE(G114:G125)</f>
        <v>90.433333333333337</v>
      </c>
      <c r="H126" s="143"/>
      <c r="I126" s="157" t="s">
        <v>2</v>
      </c>
      <c r="J126" s="158">
        <f>AVERAGE(J114:J125)</f>
        <v>6</v>
      </c>
      <c r="K126" s="141">
        <f>AVERAGE(K114:K125)</f>
        <v>339.97500000000002</v>
      </c>
      <c r="L126" s="155">
        <f>AVERAGE(L114:L125)</f>
        <v>408.62249999999995</v>
      </c>
      <c r="M126" s="157">
        <f>AVERAGE(M114:M125)</f>
        <v>68.103750000000005</v>
      </c>
      <c r="N126" s="143"/>
      <c r="O126" s="157" t="s">
        <v>2</v>
      </c>
      <c r="P126" s="158">
        <f>AVERAGE(P114:P125)</f>
        <v>6</v>
      </c>
      <c r="Q126" s="141">
        <f>AVERAGE(Q114:Q125)</f>
        <v>220.0181818181818</v>
      </c>
      <c r="R126" s="155">
        <f>AVERAGE(R114:R125)</f>
        <v>312.27272727272725</v>
      </c>
      <c r="S126" s="157">
        <f>AVERAGE(S114:S125)</f>
        <v>52.045454545454547</v>
      </c>
      <c r="T126" s="143"/>
      <c r="U126" s="157" t="s">
        <v>2</v>
      </c>
      <c r="V126" s="242">
        <f>AVERAGE(V114:V125)</f>
        <v>5</v>
      </c>
      <c r="W126" s="233">
        <f>AVERAGE(W114:W125)</f>
        <v>592.92727272727279</v>
      </c>
      <c r="X126" s="233">
        <f>AVERAGE(X114:X125)</f>
        <v>1017.3636363636364</v>
      </c>
      <c r="Y126" s="233">
        <f>AVERAGE(Y114:Y125)</f>
        <v>203.4727272727273</v>
      </c>
      <c r="AA126" s="159"/>
    </row>
    <row r="127" spans="2:27" x14ac:dyDescent="0.2">
      <c r="B127" s="6"/>
      <c r="C127" s="17"/>
      <c r="N127" s="6"/>
      <c r="O127" s="17"/>
      <c r="U127" s="21"/>
      <c r="V127" s="21"/>
      <c r="W127" s="21"/>
      <c r="X127" s="21"/>
      <c r="Y127" s="21"/>
    </row>
    <row r="128" spans="2:27" ht="12.75" thickBot="1" x14ac:dyDescent="0.25">
      <c r="B128" s="6"/>
      <c r="C128" s="17"/>
      <c r="N128" s="6"/>
    </row>
    <row r="129" spans="2:27" ht="16.5" thickBot="1" x14ac:dyDescent="0.3">
      <c r="B129" s="6"/>
      <c r="C129" s="362" t="s">
        <v>110</v>
      </c>
      <c r="D129" s="363"/>
      <c r="E129" s="363"/>
      <c r="F129" s="363"/>
      <c r="G129" s="364"/>
      <c r="N129" s="6"/>
    </row>
    <row r="130" spans="2:27" ht="15" x14ac:dyDescent="0.25">
      <c r="B130" s="6"/>
      <c r="C130" s="365" t="s">
        <v>101</v>
      </c>
      <c r="D130" s="365"/>
      <c r="E130" s="365"/>
      <c r="F130" s="365"/>
      <c r="G130" s="365"/>
      <c r="N130" s="6"/>
    </row>
    <row r="131" spans="2:27" ht="12.75" thickBot="1" x14ac:dyDescent="0.25">
      <c r="B131" s="6"/>
      <c r="C131" s="129"/>
      <c r="D131" s="129"/>
      <c r="E131" s="129"/>
      <c r="F131" s="129"/>
      <c r="G131" s="130"/>
      <c r="N131" s="6"/>
      <c r="AA131" s="159"/>
    </row>
    <row r="132" spans="2:27" ht="99" customHeight="1" thickBot="1" x14ac:dyDescent="0.25">
      <c r="B132" s="6"/>
      <c r="C132" s="164" t="s">
        <v>1</v>
      </c>
      <c r="D132" s="165" t="s">
        <v>0</v>
      </c>
      <c r="E132" s="166" t="s">
        <v>7</v>
      </c>
      <c r="F132" s="167" t="s">
        <v>8</v>
      </c>
      <c r="G132" s="164" t="s">
        <v>9</v>
      </c>
      <c r="N132" s="6"/>
    </row>
    <row r="133" spans="2:27" x14ac:dyDescent="0.2">
      <c r="B133" s="6"/>
      <c r="C133" s="7">
        <v>43101</v>
      </c>
      <c r="D133" s="168">
        <v>3</v>
      </c>
      <c r="E133" s="90">
        <v>50</v>
      </c>
      <c r="F133" s="90"/>
      <c r="G133" s="169"/>
      <c r="N133" s="6"/>
      <c r="O133" s="17"/>
    </row>
    <row r="134" spans="2:27" x14ac:dyDescent="0.2">
      <c r="B134" s="6"/>
      <c r="C134" s="7">
        <v>43132</v>
      </c>
      <c r="D134" s="170">
        <v>3</v>
      </c>
      <c r="E134" s="10">
        <v>50</v>
      </c>
      <c r="F134" s="171"/>
      <c r="G134" s="132"/>
      <c r="N134" s="6"/>
      <c r="O134" s="17"/>
    </row>
    <row r="135" spans="2:27" x14ac:dyDescent="0.2">
      <c r="B135" s="6"/>
      <c r="C135" s="7">
        <v>43160</v>
      </c>
      <c r="D135" s="172">
        <v>3</v>
      </c>
      <c r="E135" s="10">
        <v>50</v>
      </c>
      <c r="F135" s="10"/>
      <c r="G135" s="132"/>
      <c r="N135" s="6"/>
      <c r="O135" s="17"/>
    </row>
    <row r="136" spans="2:27" x14ac:dyDescent="0.2">
      <c r="B136" s="6"/>
      <c r="C136" s="7">
        <v>43191</v>
      </c>
      <c r="D136" s="172">
        <v>3</v>
      </c>
      <c r="E136" s="10">
        <v>50</v>
      </c>
      <c r="F136" s="10"/>
      <c r="G136" s="132"/>
      <c r="N136" s="6"/>
      <c r="O136" s="17"/>
    </row>
    <row r="137" spans="2:27" x14ac:dyDescent="0.2">
      <c r="B137" s="6"/>
      <c r="C137" s="7">
        <v>43221</v>
      </c>
      <c r="D137" s="172">
        <v>3</v>
      </c>
      <c r="E137" s="10">
        <v>50</v>
      </c>
      <c r="F137" s="10"/>
      <c r="G137" s="132"/>
      <c r="N137" s="6"/>
      <c r="O137" s="17"/>
    </row>
    <row r="138" spans="2:27" x14ac:dyDescent="0.2">
      <c r="B138" s="6"/>
      <c r="C138" s="7">
        <v>43252</v>
      </c>
      <c r="D138" s="172">
        <v>3</v>
      </c>
      <c r="E138" s="10">
        <v>50</v>
      </c>
      <c r="F138" s="10"/>
      <c r="G138" s="132"/>
      <c r="N138" s="6"/>
      <c r="O138" s="17"/>
    </row>
    <row r="139" spans="2:27" x14ac:dyDescent="0.2">
      <c r="B139" s="6"/>
      <c r="C139" s="7">
        <v>43282</v>
      </c>
      <c r="D139" s="172">
        <v>3</v>
      </c>
      <c r="E139" s="10">
        <v>50</v>
      </c>
      <c r="F139" s="10"/>
      <c r="G139" s="132"/>
      <c r="N139" s="6"/>
      <c r="O139" s="17"/>
    </row>
    <row r="140" spans="2:27" x14ac:dyDescent="0.2">
      <c r="B140" s="6"/>
      <c r="C140" s="7">
        <v>43313</v>
      </c>
      <c r="D140" s="172">
        <v>3</v>
      </c>
      <c r="E140" s="10">
        <v>50</v>
      </c>
      <c r="F140" s="10"/>
      <c r="G140" s="132"/>
      <c r="N140" s="6"/>
      <c r="O140" s="17"/>
    </row>
    <row r="141" spans="2:27" x14ac:dyDescent="0.2">
      <c r="B141" s="6"/>
      <c r="C141" s="7">
        <v>43344</v>
      </c>
      <c r="D141" s="172">
        <v>3</v>
      </c>
      <c r="E141" s="10">
        <v>50</v>
      </c>
      <c r="F141" s="10"/>
      <c r="G141" s="132"/>
      <c r="N141" s="6"/>
      <c r="O141" s="17"/>
    </row>
    <row r="142" spans="2:27" x14ac:dyDescent="0.2">
      <c r="B142" s="6"/>
      <c r="C142" s="7">
        <v>43374</v>
      </c>
      <c r="D142" s="172">
        <v>3</v>
      </c>
      <c r="E142" s="10">
        <v>50</v>
      </c>
      <c r="F142" s="10"/>
      <c r="G142" s="132"/>
      <c r="N142" s="6"/>
      <c r="O142" s="17"/>
    </row>
    <row r="143" spans="2:27" x14ac:dyDescent="0.2">
      <c r="B143" s="6"/>
      <c r="C143" s="7">
        <v>43405</v>
      </c>
      <c r="D143" s="172">
        <v>3</v>
      </c>
      <c r="E143" s="10">
        <v>50</v>
      </c>
      <c r="F143" s="10"/>
      <c r="G143" s="132"/>
      <c r="N143" s="6"/>
      <c r="O143" s="17"/>
    </row>
    <row r="144" spans="2:27" ht="12.75" thickBot="1" x14ac:dyDescent="0.25">
      <c r="B144" s="6"/>
      <c r="C144" s="7">
        <v>43435</v>
      </c>
      <c r="D144" s="205">
        <v>3</v>
      </c>
      <c r="E144" s="10">
        <v>50</v>
      </c>
      <c r="F144" s="10"/>
      <c r="G144" s="153"/>
      <c r="N144" s="6"/>
      <c r="O144" s="17"/>
    </row>
    <row r="145" spans="2:15" ht="20.25" customHeight="1" thickBot="1" x14ac:dyDescent="0.25">
      <c r="B145" s="6"/>
      <c r="C145" s="140" t="s">
        <v>2</v>
      </c>
      <c r="D145" s="141">
        <f>AVERAGE(D132:D144)</f>
        <v>3</v>
      </c>
      <c r="E145" s="141">
        <f>AVERAGE(E132:E144)</f>
        <v>50</v>
      </c>
      <c r="F145" s="155">
        <v>0</v>
      </c>
      <c r="G145" s="157" t="e">
        <f>AVERAGE(G132:G144)</f>
        <v>#DIV/0!</v>
      </c>
      <c r="N145" s="6"/>
      <c r="O145" s="17"/>
    </row>
    <row r="146" spans="2:15" ht="12.75" x14ac:dyDescent="0.2">
      <c r="B146" s="6"/>
      <c r="C146" s="190" t="s">
        <v>102</v>
      </c>
      <c r="D146" s="23"/>
      <c r="F146" s="45"/>
      <c r="G146" s="23"/>
      <c r="N146" s="6"/>
      <c r="O146" s="17"/>
    </row>
    <row r="147" spans="2:15" x14ac:dyDescent="0.2">
      <c r="B147" s="6"/>
      <c r="C147" s="21"/>
      <c r="D147" s="21"/>
      <c r="E147" s="21"/>
      <c r="F147" s="21"/>
      <c r="G147" s="21"/>
      <c r="I147" s="21"/>
      <c r="J147" s="21"/>
      <c r="K147" s="21"/>
      <c r="L147" s="21"/>
      <c r="M147" s="21"/>
      <c r="N147" s="6"/>
      <c r="O147" s="17"/>
    </row>
    <row r="148" spans="2:15" x14ac:dyDescent="0.2">
      <c r="B148" s="6"/>
      <c r="N148" s="6"/>
      <c r="O148" s="17"/>
    </row>
    <row r="149" spans="2:15" x14ac:dyDescent="0.2">
      <c r="B149" s="6"/>
      <c r="N149" s="6"/>
      <c r="O149" s="17"/>
    </row>
    <row r="150" spans="2:15" x14ac:dyDescent="0.2">
      <c r="B150" s="6"/>
      <c r="C150" s="17"/>
      <c r="N150" s="6"/>
      <c r="O150" s="17"/>
    </row>
    <row r="151" spans="2:15" x14ac:dyDescent="0.2">
      <c r="B151" s="6"/>
      <c r="C151" s="17"/>
      <c r="N151" s="6"/>
      <c r="O151" s="17"/>
    </row>
    <row r="152" spans="2:15" x14ac:dyDescent="0.2">
      <c r="B152" s="6"/>
      <c r="C152" s="17"/>
      <c r="N152" s="6"/>
      <c r="O152" s="17"/>
    </row>
    <row r="153" spans="2:15" x14ac:dyDescent="0.2">
      <c r="B153" s="6"/>
      <c r="C153" s="17"/>
      <c r="N153" s="6"/>
      <c r="O153" s="17"/>
    </row>
    <row r="154" spans="2:15" x14ac:dyDescent="0.2">
      <c r="B154" s="6"/>
      <c r="C154" s="17"/>
      <c r="N154" s="6"/>
      <c r="O154" s="17"/>
    </row>
    <row r="155" spans="2:15" x14ac:dyDescent="0.2">
      <c r="B155" s="6"/>
      <c r="C155" s="17"/>
      <c r="N155" s="6"/>
      <c r="O155" s="17"/>
    </row>
    <row r="156" spans="2:15" x14ac:dyDescent="0.2">
      <c r="B156" s="6"/>
      <c r="C156" s="17"/>
      <c r="N156" s="6"/>
      <c r="O156" s="17"/>
    </row>
  </sheetData>
  <mergeCells count="189">
    <mergeCell ref="P45:S45"/>
    <mergeCell ref="G72:G73"/>
    <mergeCell ref="I72:I73"/>
    <mergeCell ref="J72:J73"/>
    <mergeCell ref="K72:K73"/>
    <mergeCell ref="O50:S50"/>
    <mergeCell ref="O70:S70"/>
    <mergeCell ref="P52:P53"/>
    <mergeCell ref="R52:R53"/>
    <mergeCell ref="S52:S53"/>
    <mergeCell ref="Q52:Q53"/>
    <mergeCell ref="O47:S47"/>
    <mergeCell ref="Q48:U48"/>
    <mergeCell ref="O69:S69"/>
    <mergeCell ref="U69:Y69"/>
    <mergeCell ref="O52:O53"/>
    <mergeCell ref="U49:Y49"/>
    <mergeCell ref="W52:W53"/>
    <mergeCell ref="X52:X53"/>
    <mergeCell ref="Y52:Y53"/>
    <mergeCell ref="U50:Y50"/>
    <mergeCell ref="U52:U53"/>
    <mergeCell ref="V52:V53"/>
    <mergeCell ref="D72:D73"/>
    <mergeCell ref="E72:E73"/>
    <mergeCell ref="F72:F73"/>
    <mergeCell ref="J52:J53"/>
    <mergeCell ref="K52:K53"/>
    <mergeCell ref="C72:C73"/>
    <mergeCell ref="C49:G49"/>
    <mergeCell ref="I49:M49"/>
    <mergeCell ref="O49:S49"/>
    <mergeCell ref="C50:G50"/>
    <mergeCell ref="I50:M50"/>
    <mergeCell ref="C69:G69"/>
    <mergeCell ref="I69:M69"/>
    <mergeCell ref="C70:G70"/>
    <mergeCell ref="I70:M70"/>
    <mergeCell ref="L52:L53"/>
    <mergeCell ref="M52:M53"/>
    <mergeCell ref="G52:G53"/>
    <mergeCell ref="I52:I53"/>
    <mergeCell ref="C52:C53"/>
    <mergeCell ref="D52:D53"/>
    <mergeCell ref="E52:E53"/>
    <mergeCell ref="F52:F53"/>
    <mergeCell ref="C29:G29"/>
    <mergeCell ref="I29:M29"/>
    <mergeCell ref="O29:S29"/>
    <mergeCell ref="U29:Y29"/>
    <mergeCell ref="C30:G30"/>
    <mergeCell ref="I30:M30"/>
    <mergeCell ref="O30:S30"/>
    <mergeCell ref="U30:Y30"/>
    <mergeCell ref="C32:C33"/>
    <mergeCell ref="D32:D33"/>
    <mergeCell ref="E32:E33"/>
    <mergeCell ref="F32:F33"/>
    <mergeCell ref="G32:G33"/>
    <mergeCell ref="I32:I33"/>
    <mergeCell ref="J32:J33"/>
    <mergeCell ref="K32:K33"/>
    <mergeCell ref="L32:L33"/>
    <mergeCell ref="M32:M33"/>
    <mergeCell ref="O32:O33"/>
    <mergeCell ref="P32:P33"/>
    <mergeCell ref="Q32:Q33"/>
    <mergeCell ref="R32:R33"/>
    <mergeCell ref="S32:S33"/>
    <mergeCell ref="C8:G8"/>
    <mergeCell ref="I8:M8"/>
    <mergeCell ref="O8:S8"/>
    <mergeCell ref="U8:Y8"/>
    <mergeCell ref="C9:G9"/>
    <mergeCell ref="I9:M9"/>
    <mergeCell ref="O9:S9"/>
    <mergeCell ref="U9:Y9"/>
    <mergeCell ref="C11:C12"/>
    <mergeCell ref="D11:D12"/>
    <mergeCell ref="E11:E12"/>
    <mergeCell ref="F11:F12"/>
    <mergeCell ref="G11:G12"/>
    <mergeCell ref="I11:I12"/>
    <mergeCell ref="J11:J12"/>
    <mergeCell ref="K11:K12"/>
    <mergeCell ref="L11:L12"/>
    <mergeCell ref="M11:M12"/>
    <mergeCell ref="O11:O12"/>
    <mergeCell ref="P11:P12"/>
    <mergeCell ref="Q11:Q12"/>
    <mergeCell ref="R11:R12"/>
    <mergeCell ref="S11:S12"/>
    <mergeCell ref="U11:U12"/>
    <mergeCell ref="V11:V12"/>
    <mergeCell ref="W11:W12"/>
    <mergeCell ref="X11:X12"/>
    <mergeCell ref="Y11:Y12"/>
    <mergeCell ref="U32:U33"/>
    <mergeCell ref="V32:V33"/>
    <mergeCell ref="W32:W33"/>
    <mergeCell ref="X32:X33"/>
    <mergeCell ref="Y32:Y33"/>
    <mergeCell ref="U70:Y70"/>
    <mergeCell ref="D92:D93"/>
    <mergeCell ref="E92:E93"/>
    <mergeCell ref="F92:F93"/>
    <mergeCell ref="W72:W73"/>
    <mergeCell ref="X72:X73"/>
    <mergeCell ref="Y72:Y73"/>
    <mergeCell ref="C89:G89"/>
    <mergeCell ref="I89:M89"/>
    <mergeCell ref="O89:S89"/>
    <mergeCell ref="U89:Y89"/>
    <mergeCell ref="C90:G90"/>
    <mergeCell ref="I90:M90"/>
    <mergeCell ref="O90:S90"/>
    <mergeCell ref="U90:Y90"/>
    <mergeCell ref="L72:L73"/>
    <mergeCell ref="M72:M73"/>
    <mergeCell ref="O72:O73"/>
    <mergeCell ref="P72:P73"/>
    <mergeCell ref="Q72:Q73"/>
    <mergeCell ref="R72:R73"/>
    <mergeCell ref="S72:S73"/>
    <mergeCell ref="U72:U73"/>
    <mergeCell ref="V72:V73"/>
    <mergeCell ref="I109:M109"/>
    <mergeCell ref="O109:S109"/>
    <mergeCell ref="U109:Y109"/>
    <mergeCell ref="C110:G110"/>
    <mergeCell ref="I110:M110"/>
    <mergeCell ref="O110:S110"/>
    <mergeCell ref="U110:Y110"/>
    <mergeCell ref="K92:K93"/>
    <mergeCell ref="L92:L93"/>
    <mergeCell ref="M92:M93"/>
    <mergeCell ref="O92:O93"/>
    <mergeCell ref="P92:P93"/>
    <mergeCell ref="Q92:Q93"/>
    <mergeCell ref="R92:R93"/>
    <mergeCell ref="S92:S93"/>
    <mergeCell ref="U92:U93"/>
    <mergeCell ref="C92:C93"/>
    <mergeCell ref="G92:G93"/>
    <mergeCell ref="I92:I93"/>
    <mergeCell ref="J92:J93"/>
    <mergeCell ref="C129:G129"/>
    <mergeCell ref="C130:G130"/>
    <mergeCell ref="O112:O113"/>
    <mergeCell ref="P112:P113"/>
    <mergeCell ref="Q112:Q113"/>
    <mergeCell ref="R112:R113"/>
    <mergeCell ref="S112:S113"/>
    <mergeCell ref="U112:U113"/>
    <mergeCell ref="V112:V113"/>
    <mergeCell ref="C112:C113"/>
    <mergeCell ref="D112:D113"/>
    <mergeCell ref="E112:E113"/>
    <mergeCell ref="F112:F113"/>
    <mergeCell ref="G112:G113"/>
    <mergeCell ref="I112:I113"/>
    <mergeCell ref="J112:J113"/>
    <mergeCell ref="K112:K113"/>
    <mergeCell ref="L112:L113"/>
    <mergeCell ref="M112:M113"/>
    <mergeCell ref="J24:M24"/>
    <mergeCell ref="P24:S24"/>
    <mergeCell ref="P125:S125"/>
    <mergeCell ref="V125:Y125"/>
    <mergeCell ref="D45:G45"/>
    <mergeCell ref="J45:M45"/>
    <mergeCell ref="P105:S105"/>
    <mergeCell ref="V105:Y105"/>
    <mergeCell ref="D85:G85"/>
    <mergeCell ref="D65:G65"/>
    <mergeCell ref="V65:Y65"/>
    <mergeCell ref="V85:Y85"/>
    <mergeCell ref="P85:S85"/>
    <mergeCell ref="V45:Y45"/>
    <mergeCell ref="D24:G24"/>
    <mergeCell ref="V24:Y24"/>
    <mergeCell ref="V92:V93"/>
    <mergeCell ref="Y112:Y113"/>
    <mergeCell ref="W112:W113"/>
    <mergeCell ref="X112:X113"/>
    <mergeCell ref="W92:W93"/>
    <mergeCell ref="X92:X93"/>
    <mergeCell ref="Y92:Y93"/>
    <mergeCell ref="C109:G109"/>
  </mergeCells>
  <printOptions horizontalCentered="1"/>
  <pageMargins left="0.19685039370078741" right="0.19685039370078741" top="0.27559055118110237" bottom="0.47244094488188981" header="0.23622047244094491" footer="0.31496062992125984"/>
  <pageSetup scale="8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4:AG248"/>
  <sheetViews>
    <sheetView topLeftCell="A46" zoomScale="80" zoomScaleNormal="80" workbookViewId="0">
      <selection activeCell="AB93" sqref="AB93"/>
    </sheetView>
  </sheetViews>
  <sheetFormatPr baseColWidth="10" defaultColWidth="11.42578125" defaultRowHeight="12.75" x14ac:dyDescent="0.2"/>
  <cols>
    <col min="1" max="1" width="3.42578125" style="23" customWidth="1"/>
    <col min="2" max="2" width="10.42578125" style="45" customWidth="1"/>
    <col min="3" max="3" width="9.85546875" style="23" customWidth="1"/>
    <col min="4" max="4" width="11.5703125" style="23" customWidth="1"/>
    <col min="5" max="5" width="11.7109375" style="23" customWidth="1"/>
    <col min="6" max="6" width="12.42578125" style="45" customWidth="1"/>
    <col min="7" max="7" width="12.7109375" style="23" customWidth="1"/>
    <col min="8" max="8" width="10.7109375" style="23" customWidth="1"/>
    <col min="9" max="11" width="9.85546875" style="23" customWidth="1"/>
    <col min="12" max="12" width="12.42578125" style="23" customWidth="1"/>
    <col min="13" max="13" width="15.5703125" style="23" customWidth="1"/>
    <col min="14" max="14" width="10.42578125" style="23" customWidth="1"/>
    <col min="15" max="17" width="9.85546875" style="23" customWidth="1"/>
    <col min="18" max="18" width="11.85546875" style="23" customWidth="1"/>
    <col min="19" max="19" width="20" style="23" customWidth="1"/>
    <col min="20" max="20" width="11" style="23" customWidth="1"/>
    <col min="21" max="23" width="9.85546875" style="23" customWidth="1"/>
    <col min="24" max="24" width="12.5703125" style="23" customWidth="1"/>
    <col min="25" max="25" width="16.85546875" style="23" customWidth="1"/>
    <col min="26" max="27" width="9.5703125" style="23" customWidth="1"/>
    <col min="28" max="28" width="10.140625" style="23" customWidth="1"/>
    <col min="29" max="29" width="9.7109375" style="23" customWidth="1"/>
    <col min="30" max="30" width="10.7109375" style="23" customWidth="1"/>
    <col min="31" max="16384" width="11.42578125" style="23"/>
  </cols>
  <sheetData>
    <row r="4" spans="2:32" x14ac:dyDescent="0.2">
      <c r="B4" s="23"/>
      <c r="C4" s="43"/>
      <c r="D4" s="44"/>
      <c r="E4" s="44"/>
      <c r="F4" s="44"/>
      <c r="G4" s="45"/>
    </row>
    <row r="5" spans="2:32" ht="15.75" x14ac:dyDescent="0.25">
      <c r="B5" s="23"/>
      <c r="C5" s="423" t="s">
        <v>111</v>
      </c>
      <c r="D5" s="424"/>
      <c r="E5" s="424"/>
      <c r="F5" s="424"/>
      <c r="G5" s="425"/>
      <c r="H5" s="46"/>
      <c r="I5" s="423" t="s">
        <v>111</v>
      </c>
      <c r="J5" s="424"/>
      <c r="K5" s="424"/>
      <c r="L5" s="424"/>
      <c r="M5" s="425"/>
      <c r="O5" s="423" t="s">
        <v>106</v>
      </c>
      <c r="P5" s="424"/>
      <c r="Q5" s="424"/>
      <c r="R5" s="424"/>
      <c r="S5" s="425"/>
      <c r="U5" s="423" t="s">
        <v>111</v>
      </c>
      <c r="V5" s="424"/>
      <c r="W5" s="424"/>
      <c r="X5" s="424"/>
      <c r="Y5" s="425"/>
      <c r="AA5" s="22"/>
      <c r="AB5" s="22"/>
      <c r="AC5" s="22"/>
      <c r="AD5" s="22"/>
      <c r="AE5" s="45"/>
    </row>
    <row r="6" spans="2:32" x14ac:dyDescent="0.2">
      <c r="B6" s="23"/>
      <c r="C6" s="385" t="s">
        <v>3</v>
      </c>
      <c r="D6" s="385"/>
      <c r="E6" s="385"/>
      <c r="F6" s="385"/>
      <c r="G6" s="385"/>
      <c r="H6" s="46"/>
      <c r="I6" s="385" t="s">
        <v>4</v>
      </c>
      <c r="J6" s="385"/>
      <c r="K6" s="385"/>
      <c r="L6" s="385"/>
      <c r="M6" s="385"/>
      <c r="O6" s="385" t="s">
        <v>5</v>
      </c>
      <c r="P6" s="385"/>
      <c r="Q6" s="385"/>
      <c r="R6" s="385"/>
      <c r="S6" s="385"/>
      <c r="U6" s="385" t="s">
        <v>6</v>
      </c>
      <c r="V6" s="385"/>
      <c r="W6" s="385"/>
      <c r="X6" s="385"/>
      <c r="Y6" s="385"/>
      <c r="AA6" s="415"/>
      <c r="AB6" s="415"/>
      <c r="AC6" s="415"/>
      <c r="AD6" s="415"/>
      <c r="AE6" s="415"/>
    </row>
    <row r="7" spans="2:32" ht="13.5" thickBot="1" x14ac:dyDescent="0.25">
      <c r="B7" s="23"/>
      <c r="C7" s="22"/>
      <c r="D7" s="22"/>
      <c r="E7" s="22"/>
      <c r="F7" s="22"/>
      <c r="G7" s="45"/>
      <c r="H7" s="32"/>
      <c r="I7" s="22"/>
      <c r="J7" s="22"/>
      <c r="K7" s="22"/>
      <c r="L7" s="22"/>
      <c r="M7" s="45"/>
      <c r="O7" s="22"/>
      <c r="P7" s="22"/>
      <c r="Q7" s="22"/>
      <c r="R7" s="22"/>
      <c r="S7" s="45"/>
      <c r="U7" s="22"/>
      <c r="V7" s="22"/>
      <c r="W7" s="22"/>
      <c r="X7" s="22"/>
      <c r="Y7" s="45"/>
      <c r="AA7" s="415"/>
      <c r="AB7" s="415"/>
      <c r="AC7" s="415"/>
      <c r="AD7" s="415"/>
      <c r="AE7" s="415"/>
    </row>
    <row r="8" spans="2:32" x14ac:dyDescent="0.2">
      <c r="B8" s="23"/>
      <c r="C8" s="386" t="s">
        <v>1</v>
      </c>
      <c r="D8" s="388" t="s">
        <v>0</v>
      </c>
      <c r="E8" s="388" t="s">
        <v>32</v>
      </c>
      <c r="F8" s="388" t="s">
        <v>33</v>
      </c>
      <c r="G8" s="390" t="s">
        <v>34</v>
      </c>
      <c r="H8" s="47"/>
      <c r="I8" s="386" t="s">
        <v>1</v>
      </c>
      <c r="J8" s="417" t="s">
        <v>0</v>
      </c>
      <c r="K8" s="388" t="s">
        <v>32</v>
      </c>
      <c r="L8" s="420" t="s">
        <v>33</v>
      </c>
      <c r="M8" s="390" t="s">
        <v>34</v>
      </c>
      <c r="O8" s="386" t="s">
        <v>1</v>
      </c>
      <c r="P8" s="388" t="s">
        <v>0</v>
      </c>
      <c r="Q8" s="388" t="s">
        <v>32</v>
      </c>
      <c r="R8" s="388" t="s">
        <v>33</v>
      </c>
      <c r="S8" s="390" t="s">
        <v>34</v>
      </c>
      <c r="U8" s="386" t="s">
        <v>1</v>
      </c>
      <c r="V8" s="388" t="s">
        <v>0</v>
      </c>
      <c r="W8" s="388" t="s">
        <v>35</v>
      </c>
      <c r="X8" s="388" t="s">
        <v>33</v>
      </c>
      <c r="Y8" s="390" t="s">
        <v>34</v>
      </c>
      <c r="AA8" s="173"/>
      <c r="AB8" s="186"/>
      <c r="AC8" s="186"/>
      <c r="AD8" s="185"/>
      <c r="AE8" s="184"/>
      <c r="AF8" s="32"/>
    </row>
    <row r="9" spans="2:32" ht="93.75" customHeight="1" thickBot="1" x14ac:dyDescent="0.25">
      <c r="B9" s="23"/>
      <c r="C9" s="387"/>
      <c r="D9" s="389"/>
      <c r="E9" s="389"/>
      <c r="F9" s="389"/>
      <c r="G9" s="391"/>
      <c r="H9" s="219"/>
      <c r="I9" s="416"/>
      <c r="J9" s="418"/>
      <c r="K9" s="419"/>
      <c r="L9" s="421"/>
      <c r="M9" s="391"/>
      <c r="O9" s="387"/>
      <c r="P9" s="389"/>
      <c r="Q9" s="389"/>
      <c r="R9" s="389"/>
      <c r="S9" s="391"/>
      <c r="U9" s="387"/>
      <c r="V9" s="389"/>
      <c r="W9" s="389"/>
      <c r="X9" s="389"/>
      <c r="Y9" s="391"/>
      <c r="AA9" s="173"/>
      <c r="AB9" s="186"/>
      <c r="AC9" s="186"/>
      <c r="AD9" s="185"/>
      <c r="AE9" s="184"/>
      <c r="AF9" s="32"/>
    </row>
    <row r="10" spans="2:32" x14ac:dyDescent="0.2">
      <c r="B10" s="23"/>
      <c r="C10" s="7">
        <v>43101</v>
      </c>
      <c r="D10" s="8">
        <v>5</v>
      </c>
      <c r="E10" s="4">
        <v>4</v>
      </c>
      <c r="F10" s="200">
        <v>13.7</v>
      </c>
      <c r="G10" s="18">
        <f t="shared" ref="G10:G16" si="0">+E10/D10</f>
        <v>0.8</v>
      </c>
      <c r="H10" s="49"/>
      <c r="I10" s="284">
        <v>43101</v>
      </c>
      <c r="J10" s="4">
        <v>5</v>
      </c>
      <c r="K10" s="376"/>
      <c r="L10" s="50">
        <v>30</v>
      </c>
      <c r="M10" s="427"/>
      <c r="O10" s="7">
        <v>43101</v>
      </c>
      <c r="P10" s="183">
        <v>7</v>
      </c>
      <c r="Q10" s="183">
        <v>7</v>
      </c>
      <c r="R10" s="203">
        <v>43.1</v>
      </c>
      <c r="S10" s="181">
        <f t="shared" ref="S10:S11" si="1">+Q10/P10</f>
        <v>1</v>
      </c>
      <c r="U10" s="7">
        <v>43101</v>
      </c>
      <c r="V10" s="8">
        <v>5</v>
      </c>
      <c r="W10" s="51">
        <v>49.2</v>
      </c>
      <c r="X10" s="51">
        <v>159.6</v>
      </c>
      <c r="Y10" s="174">
        <f>+W10/V10</f>
        <v>9.84</v>
      </c>
      <c r="Z10" s="6"/>
      <c r="AC10" s="46"/>
      <c r="AD10" s="46"/>
      <c r="AE10" s="46"/>
      <c r="AF10" s="32"/>
    </row>
    <row r="11" spans="2:32" ht="15" customHeight="1" x14ac:dyDescent="0.2">
      <c r="B11" s="23"/>
      <c r="C11" s="7">
        <v>43132</v>
      </c>
      <c r="D11" s="4">
        <v>5</v>
      </c>
      <c r="E11" s="4">
        <v>1</v>
      </c>
      <c r="F11" s="200">
        <v>4.9000000000000004</v>
      </c>
      <c r="G11" s="18">
        <f t="shared" si="0"/>
        <v>0.2</v>
      </c>
      <c r="H11" s="49"/>
      <c r="I11" s="284">
        <v>43132</v>
      </c>
      <c r="J11" s="4">
        <v>5</v>
      </c>
      <c r="K11" s="377"/>
      <c r="L11" s="48">
        <v>30</v>
      </c>
      <c r="M11" s="428"/>
      <c r="O11" s="7">
        <v>43132</v>
      </c>
      <c r="P11" s="4">
        <v>7</v>
      </c>
      <c r="Q11" s="4">
        <v>8</v>
      </c>
      <c r="R11" s="48">
        <v>48.8</v>
      </c>
      <c r="S11" s="18">
        <f t="shared" si="1"/>
        <v>1.1428571428571428</v>
      </c>
      <c r="U11" s="7">
        <v>43132</v>
      </c>
      <c r="V11" s="4">
        <v>5</v>
      </c>
      <c r="W11" s="177">
        <v>41.1</v>
      </c>
      <c r="X11" s="48">
        <v>133.5</v>
      </c>
      <c r="Y11" s="174">
        <f>+W11/V11</f>
        <v>8.2200000000000006</v>
      </c>
      <c r="AC11" s="46"/>
      <c r="AD11" s="46"/>
      <c r="AE11" s="46"/>
      <c r="AF11" s="32"/>
    </row>
    <row r="12" spans="2:32" ht="15" customHeight="1" x14ac:dyDescent="0.2">
      <c r="B12" s="23"/>
      <c r="C12" s="7">
        <v>43160</v>
      </c>
      <c r="D12" s="4">
        <v>5</v>
      </c>
      <c r="E12" s="4">
        <v>4</v>
      </c>
      <c r="F12" s="200">
        <v>13.7</v>
      </c>
      <c r="G12" s="18">
        <f t="shared" si="0"/>
        <v>0.8</v>
      </c>
      <c r="H12" s="49"/>
      <c r="I12" s="284">
        <v>43160</v>
      </c>
      <c r="J12" s="4">
        <v>5</v>
      </c>
      <c r="K12" s="377"/>
      <c r="L12" s="48">
        <v>30</v>
      </c>
      <c r="M12" s="428"/>
      <c r="O12" s="7">
        <v>43160</v>
      </c>
      <c r="P12" s="4">
        <v>7</v>
      </c>
      <c r="Q12" s="4">
        <v>7</v>
      </c>
      <c r="R12" s="48">
        <v>43.1</v>
      </c>
      <c r="S12" s="18">
        <f>+Q12/P12</f>
        <v>1</v>
      </c>
      <c r="U12" s="7">
        <v>43160</v>
      </c>
      <c r="V12" s="4">
        <v>5</v>
      </c>
      <c r="W12" s="243">
        <f>0.3*71</f>
        <v>21.3</v>
      </c>
      <c r="X12" s="243">
        <v>69.66</v>
      </c>
      <c r="Y12" s="174">
        <f>+W12/V12</f>
        <v>4.26</v>
      </c>
      <c r="AC12" s="46"/>
      <c r="AD12" s="46"/>
      <c r="AE12" s="46"/>
      <c r="AF12" s="32"/>
    </row>
    <row r="13" spans="2:32" ht="15" customHeight="1" x14ac:dyDescent="0.2">
      <c r="B13" s="23"/>
      <c r="C13" s="7">
        <v>43191</v>
      </c>
      <c r="D13" s="4">
        <v>5</v>
      </c>
      <c r="E13" s="4">
        <v>0</v>
      </c>
      <c r="F13" s="200">
        <v>2</v>
      </c>
      <c r="G13" s="18">
        <f t="shared" si="0"/>
        <v>0</v>
      </c>
      <c r="H13" s="49"/>
      <c r="I13" s="284">
        <v>43191</v>
      </c>
      <c r="J13" s="4">
        <v>5</v>
      </c>
      <c r="K13" s="377"/>
      <c r="L13" s="48">
        <v>30</v>
      </c>
      <c r="M13" s="428"/>
      <c r="O13" s="7">
        <v>43191</v>
      </c>
      <c r="P13" s="4">
        <v>7</v>
      </c>
      <c r="Q13" s="4">
        <v>5</v>
      </c>
      <c r="R13" s="48">
        <v>31.8</v>
      </c>
      <c r="S13" s="18">
        <f t="shared" ref="S13:S19" si="2">+Q13/P13</f>
        <v>0.7142857142857143</v>
      </c>
      <c r="U13" s="7">
        <v>43191</v>
      </c>
      <c r="V13" s="4">
        <v>5</v>
      </c>
      <c r="W13" s="178">
        <v>11.4</v>
      </c>
      <c r="X13" s="51">
        <v>102.21</v>
      </c>
      <c r="Y13" s="174">
        <f>+W13/V13</f>
        <v>2.2800000000000002</v>
      </c>
      <c r="Z13" s="24"/>
      <c r="AC13" s="46"/>
      <c r="AD13" s="46"/>
      <c r="AE13" s="46"/>
      <c r="AF13" s="32"/>
    </row>
    <row r="14" spans="2:32" ht="15" customHeight="1" x14ac:dyDescent="0.2">
      <c r="B14" s="23"/>
      <c r="C14" s="7">
        <v>43221</v>
      </c>
      <c r="D14" s="4">
        <v>5</v>
      </c>
      <c r="E14" s="4">
        <v>2</v>
      </c>
      <c r="F14" s="200">
        <v>7.8</v>
      </c>
      <c r="G14" s="18">
        <f t="shared" si="0"/>
        <v>0.4</v>
      </c>
      <c r="H14" s="49"/>
      <c r="I14" s="284">
        <v>43221</v>
      </c>
      <c r="J14" s="4">
        <v>5</v>
      </c>
      <c r="K14" s="377"/>
      <c r="L14" s="48">
        <v>30</v>
      </c>
      <c r="M14" s="428"/>
      <c r="O14" s="7">
        <v>43221</v>
      </c>
      <c r="P14" s="4">
        <v>7</v>
      </c>
      <c r="Q14" s="4">
        <v>6</v>
      </c>
      <c r="R14" s="48">
        <v>37.5</v>
      </c>
      <c r="S14" s="18">
        <f t="shared" si="2"/>
        <v>0.8571428571428571</v>
      </c>
      <c r="U14" s="7">
        <v>43221</v>
      </c>
      <c r="V14" s="4">
        <v>5</v>
      </c>
      <c r="W14" s="177">
        <v>11.4</v>
      </c>
      <c r="X14" s="48">
        <v>102.21</v>
      </c>
      <c r="Y14" s="174">
        <f t="shared" ref="Y14:Y16" si="3">+W14/V14</f>
        <v>2.2800000000000002</v>
      </c>
      <c r="AC14" s="46"/>
      <c r="AD14" s="46"/>
      <c r="AE14" s="46"/>
      <c r="AF14" s="32"/>
    </row>
    <row r="15" spans="2:32" ht="15" customHeight="1" x14ac:dyDescent="0.2">
      <c r="B15" s="23"/>
      <c r="C15" s="7">
        <v>43252</v>
      </c>
      <c r="D15" s="4">
        <v>5</v>
      </c>
      <c r="E15" s="4">
        <v>1</v>
      </c>
      <c r="F15" s="4">
        <v>4.9000000000000004</v>
      </c>
      <c r="G15" s="4">
        <f t="shared" si="0"/>
        <v>0.2</v>
      </c>
      <c r="H15" s="49"/>
      <c r="I15" s="284">
        <v>43252</v>
      </c>
      <c r="J15" s="4">
        <v>5</v>
      </c>
      <c r="K15" s="377"/>
      <c r="L15" s="48">
        <v>30</v>
      </c>
      <c r="M15" s="428"/>
      <c r="O15" s="7">
        <v>43252</v>
      </c>
      <c r="P15" s="4">
        <v>7</v>
      </c>
      <c r="Q15" s="4">
        <v>6</v>
      </c>
      <c r="R15" s="50">
        <v>37.5</v>
      </c>
      <c r="S15" s="18">
        <f t="shared" si="2"/>
        <v>0.8571428571428571</v>
      </c>
      <c r="U15" s="7">
        <v>43252</v>
      </c>
      <c r="V15" s="4">
        <v>5</v>
      </c>
      <c r="W15" s="177">
        <f>0.3*53</f>
        <v>15.899999999999999</v>
      </c>
      <c r="X15" s="48">
        <f>0.3*174.2</f>
        <v>52.26</v>
      </c>
      <c r="Y15" s="174">
        <f t="shared" si="3"/>
        <v>3.1799999999999997</v>
      </c>
      <c r="Z15" s="24"/>
      <c r="AC15" s="46"/>
      <c r="AD15" s="46"/>
      <c r="AE15" s="46"/>
      <c r="AF15" s="32"/>
    </row>
    <row r="16" spans="2:32" ht="15" customHeight="1" x14ac:dyDescent="0.2">
      <c r="B16" s="23"/>
      <c r="C16" s="7">
        <v>43282</v>
      </c>
      <c r="D16" s="4">
        <v>5</v>
      </c>
      <c r="E16" s="4">
        <v>1</v>
      </c>
      <c r="F16" s="4">
        <v>4.9000000000000004</v>
      </c>
      <c r="G16" s="4">
        <f t="shared" si="0"/>
        <v>0.2</v>
      </c>
      <c r="H16" s="49"/>
      <c r="I16" s="284">
        <v>43282</v>
      </c>
      <c r="J16" s="4">
        <v>5</v>
      </c>
      <c r="K16" s="377"/>
      <c r="L16" s="50">
        <v>30</v>
      </c>
      <c r="M16" s="428"/>
      <c r="O16" s="7">
        <v>43282</v>
      </c>
      <c r="P16" s="4">
        <v>7</v>
      </c>
      <c r="Q16" s="52">
        <v>7</v>
      </c>
      <c r="R16" s="50">
        <v>43.1</v>
      </c>
      <c r="S16" s="18">
        <f t="shared" si="2"/>
        <v>1</v>
      </c>
      <c r="U16" s="7">
        <v>43282</v>
      </c>
      <c r="V16" s="4">
        <v>5</v>
      </c>
      <c r="W16" s="177">
        <f>0.3*66</f>
        <v>19.8</v>
      </c>
      <c r="X16" s="48">
        <f>0.3*216.1</f>
        <v>64.83</v>
      </c>
      <c r="Y16" s="174">
        <f t="shared" si="3"/>
        <v>3.96</v>
      </c>
      <c r="AC16" s="46"/>
      <c r="AD16" s="46"/>
      <c r="AE16" s="46"/>
      <c r="AF16" s="32"/>
    </row>
    <row r="17" spans="2:33" ht="15" customHeight="1" x14ac:dyDescent="0.2">
      <c r="B17" s="23"/>
      <c r="C17" s="7">
        <v>43313</v>
      </c>
      <c r="D17" s="4">
        <v>5</v>
      </c>
      <c r="E17" s="4">
        <v>1</v>
      </c>
      <c r="F17" s="4">
        <v>4.9000000000000004</v>
      </c>
      <c r="G17" s="4">
        <f t="shared" ref="G17:G18" si="4">+E17/D17</f>
        <v>0.2</v>
      </c>
      <c r="H17" s="49"/>
      <c r="I17" s="284">
        <v>43313</v>
      </c>
      <c r="J17" s="12">
        <v>5</v>
      </c>
      <c r="K17" s="377"/>
      <c r="L17" s="48">
        <v>30</v>
      </c>
      <c r="M17" s="428"/>
      <c r="O17" s="7">
        <v>43313</v>
      </c>
      <c r="P17" s="4">
        <v>7</v>
      </c>
      <c r="Q17" s="11">
        <v>7</v>
      </c>
      <c r="R17" s="50">
        <v>43.1</v>
      </c>
      <c r="S17" s="18">
        <f t="shared" si="2"/>
        <v>1</v>
      </c>
      <c r="U17" s="7">
        <v>43313</v>
      </c>
      <c r="V17" s="4">
        <v>5</v>
      </c>
      <c r="W17" s="177">
        <f>0.3*66</f>
        <v>19.8</v>
      </c>
      <c r="X17" s="48">
        <f>0.3*216.1</f>
        <v>64.83</v>
      </c>
      <c r="Y17" s="174">
        <f>+W17/V17</f>
        <v>3.96</v>
      </c>
      <c r="AC17" s="46"/>
      <c r="AD17" s="46"/>
      <c r="AE17" s="46"/>
      <c r="AF17" s="32"/>
    </row>
    <row r="18" spans="2:33" ht="15" customHeight="1" x14ac:dyDescent="0.2">
      <c r="B18" s="23"/>
      <c r="C18" s="7">
        <v>43344</v>
      </c>
      <c r="D18" s="4">
        <v>5</v>
      </c>
      <c r="E18" s="4">
        <v>1</v>
      </c>
      <c r="F18" s="4">
        <v>4.9000000000000004</v>
      </c>
      <c r="G18" s="4">
        <f t="shared" si="4"/>
        <v>0.2</v>
      </c>
      <c r="H18" s="49"/>
      <c r="I18" s="284">
        <v>43344</v>
      </c>
      <c r="J18" s="4">
        <v>5</v>
      </c>
      <c r="K18" s="377"/>
      <c r="L18" s="48">
        <v>30</v>
      </c>
      <c r="M18" s="428"/>
      <c r="O18" s="7">
        <v>43344</v>
      </c>
      <c r="P18" s="4">
        <v>7</v>
      </c>
      <c r="Q18" s="11">
        <v>6</v>
      </c>
      <c r="R18" s="9">
        <v>37.5</v>
      </c>
      <c r="S18" s="18">
        <f t="shared" si="2"/>
        <v>0.8571428571428571</v>
      </c>
      <c r="U18" s="7">
        <v>43344</v>
      </c>
      <c r="V18" s="4">
        <v>5</v>
      </c>
      <c r="W18" s="48">
        <f>0.3*58</f>
        <v>17.399999999999999</v>
      </c>
      <c r="X18" s="178">
        <f>0.3*197.2</f>
        <v>59.16</v>
      </c>
      <c r="Y18" s="174">
        <f t="shared" ref="Y18:Y20" si="5">+W18/V18</f>
        <v>3.4799999999999995</v>
      </c>
      <c r="AC18" s="46"/>
      <c r="AD18" s="46"/>
      <c r="AE18" s="46"/>
      <c r="AF18" s="32"/>
    </row>
    <row r="19" spans="2:33" ht="15" customHeight="1" x14ac:dyDescent="0.2">
      <c r="B19" s="23"/>
      <c r="C19" s="7">
        <v>43374</v>
      </c>
      <c r="D19" s="4">
        <v>5</v>
      </c>
      <c r="E19" s="4">
        <v>2</v>
      </c>
      <c r="F19" s="4">
        <v>7.8</v>
      </c>
      <c r="G19" s="4">
        <f t="shared" ref="G19:G21" si="6">+E19/D19</f>
        <v>0.4</v>
      </c>
      <c r="H19" s="49"/>
      <c r="I19" s="284">
        <v>43374</v>
      </c>
      <c r="J19" s="4">
        <v>5</v>
      </c>
      <c r="K19" s="377"/>
      <c r="L19" s="48">
        <v>30</v>
      </c>
      <c r="M19" s="428"/>
      <c r="O19" s="7">
        <v>43374</v>
      </c>
      <c r="P19" s="4">
        <v>7</v>
      </c>
      <c r="Q19" s="11">
        <v>7</v>
      </c>
      <c r="R19" s="9">
        <v>43.1</v>
      </c>
      <c r="S19" s="18">
        <f t="shared" si="2"/>
        <v>1</v>
      </c>
      <c r="U19" s="7">
        <v>43374</v>
      </c>
      <c r="V19" s="4">
        <v>5</v>
      </c>
      <c r="W19" s="48">
        <f>0.3*63</f>
        <v>18.899999999999999</v>
      </c>
      <c r="X19" s="178">
        <f>0.3*212.6</f>
        <v>63.779999999999994</v>
      </c>
      <c r="Y19" s="174">
        <f t="shared" si="5"/>
        <v>3.78</v>
      </c>
      <c r="AC19" s="179"/>
      <c r="AD19" s="179"/>
      <c r="AE19" s="179"/>
      <c r="AF19" s="32"/>
    </row>
    <row r="20" spans="2:33" ht="15" customHeight="1" x14ac:dyDescent="0.2">
      <c r="B20" s="23"/>
      <c r="C20" s="7">
        <v>43405</v>
      </c>
      <c r="D20" s="4">
        <v>5</v>
      </c>
      <c r="E20" s="4">
        <v>2</v>
      </c>
      <c r="F20" s="4">
        <v>7.8</v>
      </c>
      <c r="G20" s="4">
        <f t="shared" si="6"/>
        <v>0.4</v>
      </c>
      <c r="H20" s="49"/>
      <c r="I20" s="284">
        <v>43405</v>
      </c>
      <c r="J20" s="4">
        <v>5</v>
      </c>
      <c r="K20" s="377"/>
      <c r="L20" s="48">
        <v>30</v>
      </c>
      <c r="M20" s="428"/>
      <c r="O20" s="7">
        <v>43405</v>
      </c>
      <c r="P20" s="4">
        <v>7</v>
      </c>
      <c r="Q20" s="11">
        <v>7</v>
      </c>
      <c r="R20" s="9">
        <v>43.1</v>
      </c>
      <c r="S20" s="18">
        <f t="shared" ref="S20:S21" si="7">+Q20/P20</f>
        <v>1</v>
      </c>
      <c r="U20" s="7">
        <v>43405</v>
      </c>
      <c r="V20" s="4">
        <v>5</v>
      </c>
      <c r="W20" s="178">
        <f>0.3*67</f>
        <v>20.099999999999998</v>
      </c>
      <c r="X20" s="198">
        <f>0.3*226</f>
        <v>67.8</v>
      </c>
      <c r="Y20" s="174">
        <f t="shared" si="5"/>
        <v>4.0199999999999996</v>
      </c>
      <c r="AC20" s="46"/>
      <c r="AD20" s="46"/>
      <c r="AE20" s="46"/>
      <c r="AF20" s="32"/>
    </row>
    <row r="21" spans="2:33" ht="15.75" customHeight="1" thickBot="1" x14ac:dyDescent="0.25">
      <c r="B21" s="23"/>
      <c r="C21" s="7">
        <v>43435</v>
      </c>
      <c r="D21" s="4">
        <v>5</v>
      </c>
      <c r="E21" s="4">
        <v>2</v>
      </c>
      <c r="F21" s="4">
        <v>7.8</v>
      </c>
      <c r="G21" s="4">
        <f t="shared" si="6"/>
        <v>0.4</v>
      </c>
      <c r="H21" s="49"/>
      <c r="I21" s="284">
        <v>43435</v>
      </c>
      <c r="J21" s="4">
        <v>5</v>
      </c>
      <c r="K21" s="377"/>
      <c r="L21" s="48">
        <v>30</v>
      </c>
      <c r="M21" s="428"/>
      <c r="O21" s="7">
        <v>43435</v>
      </c>
      <c r="P21" s="4">
        <v>7</v>
      </c>
      <c r="Q21" s="11">
        <v>7</v>
      </c>
      <c r="R21" s="9">
        <v>43.1</v>
      </c>
      <c r="S21" s="18">
        <f t="shared" si="7"/>
        <v>1</v>
      </c>
      <c r="U21" s="7">
        <v>43435</v>
      </c>
      <c r="V21" s="351" t="s">
        <v>116</v>
      </c>
      <c r="W21" s="352"/>
      <c r="X21" s="352"/>
      <c r="Y21" s="353"/>
      <c r="AC21" s="46"/>
      <c r="AD21" s="46"/>
      <c r="AE21" s="46"/>
      <c r="AF21" s="32"/>
    </row>
    <row r="22" spans="2:33" ht="15.75" customHeight="1" thickBot="1" x14ac:dyDescent="0.25">
      <c r="B22" s="32"/>
      <c r="C22" s="54" t="s">
        <v>2</v>
      </c>
      <c r="D22" s="26">
        <f>AVERAGE(D10:D21)</f>
        <v>5</v>
      </c>
      <c r="E22" s="26">
        <f>AVERAGE(E10:E21)</f>
        <v>1.75</v>
      </c>
      <c r="F22" s="26">
        <f>AVERAGE(F10:F21)</f>
        <v>7.091666666666665</v>
      </c>
      <c r="G22" s="27">
        <f>AVERAGE(G10:G21)</f>
        <v>0.35000000000000009</v>
      </c>
      <c r="H22" s="28"/>
      <c r="I22" s="291" t="s">
        <v>2</v>
      </c>
      <c r="J22" s="291">
        <f>AVERAGE(J10:J21)</f>
        <v>5</v>
      </c>
      <c r="K22" s="378"/>
      <c r="L22" s="291">
        <f>AVERAGE(L10:L21)</f>
        <v>30</v>
      </c>
      <c r="M22" s="429"/>
      <c r="N22" s="28"/>
      <c r="O22" s="29" t="s">
        <v>2</v>
      </c>
      <c r="P22" s="202">
        <f>AVERAGE(P10:P21)</f>
        <v>7</v>
      </c>
      <c r="Q22" s="202">
        <f>AVERAGE(Q10:Q21)</f>
        <v>6.666666666666667</v>
      </c>
      <c r="R22" s="202">
        <f>AVERAGE(R10:R21)</f>
        <v>41.233333333333341</v>
      </c>
      <c r="S22" s="201">
        <f>AVERAGE(S10:S21)</f>
        <v>0.95238095238095244</v>
      </c>
      <c r="T22" s="28"/>
      <c r="U22" s="29" t="s">
        <v>2</v>
      </c>
      <c r="V22" s="26">
        <f>AVERAGE(V10:V21)</f>
        <v>5</v>
      </c>
      <c r="W22" s="26">
        <f>AVERAGE(W10:W21)</f>
        <v>22.390909090909094</v>
      </c>
      <c r="X22" s="26">
        <f>AVERAGE(X10:X21)</f>
        <v>85.44</v>
      </c>
      <c r="Y22" s="26">
        <f>AVERAGE(Y10:Y21)</f>
        <v>4.4781818181818185</v>
      </c>
      <c r="Z22" s="32"/>
      <c r="AA22" s="32"/>
      <c r="AB22" s="32"/>
      <c r="AC22" s="32"/>
      <c r="AD22" s="32"/>
      <c r="AE22" s="32"/>
      <c r="AF22" s="32"/>
      <c r="AG22" s="32"/>
    </row>
    <row r="23" spans="2:33" x14ac:dyDescent="0.2">
      <c r="B23" s="23"/>
      <c r="C23" s="218"/>
      <c r="D23" s="218"/>
      <c r="E23" s="33"/>
      <c r="F23" s="30"/>
      <c r="G23" s="55"/>
      <c r="H23" s="31"/>
      <c r="I23" s="34" t="s">
        <v>36</v>
      </c>
      <c r="U23" s="6" t="s">
        <v>97</v>
      </c>
      <c r="AF23" s="32"/>
    </row>
    <row r="24" spans="2:33" x14ac:dyDescent="0.2">
      <c r="B24" s="23"/>
      <c r="C24" s="218"/>
      <c r="D24" s="218"/>
      <c r="E24" s="33"/>
      <c r="F24" s="30"/>
      <c r="G24" s="55"/>
      <c r="H24" s="31"/>
      <c r="L24" s="56"/>
      <c r="AF24" s="32"/>
    </row>
    <row r="25" spans="2:33" ht="16.5" thickBot="1" x14ac:dyDescent="0.3">
      <c r="B25" s="23"/>
      <c r="C25" s="423" t="s">
        <v>111</v>
      </c>
      <c r="D25" s="424"/>
      <c r="E25" s="424"/>
      <c r="F25" s="424"/>
      <c r="G25" s="425"/>
      <c r="I25" s="423" t="s">
        <v>111</v>
      </c>
      <c r="J25" s="424"/>
      <c r="K25" s="424"/>
      <c r="L25" s="424"/>
      <c r="M25" s="425"/>
      <c r="O25" s="423" t="s">
        <v>111</v>
      </c>
      <c r="P25" s="424"/>
      <c r="Q25" s="424"/>
      <c r="R25" s="424"/>
      <c r="S25" s="425"/>
      <c r="U25" s="423" t="s">
        <v>111</v>
      </c>
      <c r="V25" s="424"/>
      <c r="W25" s="424"/>
      <c r="X25" s="424"/>
      <c r="Y25" s="425"/>
    </row>
    <row r="26" spans="2:33" ht="15" x14ac:dyDescent="0.25">
      <c r="B26" s="23"/>
      <c r="C26" s="385" t="s">
        <v>11</v>
      </c>
      <c r="D26" s="385"/>
      <c r="E26" s="385"/>
      <c r="F26" s="385"/>
      <c r="G26" s="385"/>
      <c r="I26" s="385" t="s">
        <v>12</v>
      </c>
      <c r="J26" s="385"/>
      <c r="K26" s="385"/>
      <c r="L26" s="385"/>
      <c r="M26" s="385"/>
      <c r="O26" s="370" t="s">
        <v>13</v>
      </c>
      <c r="P26" s="370"/>
      <c r="Q26" s="370"/>
      <c r="R26" s="370"/>
      <c r="S26" s="370"/>
      <c r="U26" s="365" t="s">
        <v>14</v>
      </c>
      <c r="V26" s="365"/>
      <c r="W26" s="365"/>
      <c r="X26" s="365"/>
      <c r="Y26" s="365"/>
    </row>
    <row r="27" spans="2:33" ht="13.5" thickBot="1" x14ac:dyDescent="0.25">
      <c r="B27" s="23"/>
      <c r="C27" s="22"/>
      <c r="D27" s="22"/>
      <c r="E27" s="22"/>
      <c r="F27" s="22"/>
      <c r="G27" s="45"/>
      <c r="I27" s="22"/>
      <c r="J27" s="22"/>
      <c r="K27" s="22"/>
      <c r="L27" s="22"/>
      <c r="M27" s="45"/>
      <c r="O27" s="22"/>
      <c r="P27" s="22"/>
      <c r="Q27" s="22"/>
      <c r="R27" s="22"/>
      <c r="S27" s="45"/>
    </row>
    <row r="28" spans="2:33" x14ac:dyDescent="0.2">
      <c r="B28" s="23"/>
      <c r="C28" s="386" t="s">
        <v>1</v>
      </c>
      <c r="D28" s="388" t="s">
        <v>0</v>
      </c>
      <c r="E28" s="388" t="s">
        <v>37</v>
      </c>
      <c r="F28" s="388" t="s">
        <v>33</v>
      </c>
      <c r="G28" s="390" t="s">
        <v>34</v>
      </c>
      <c r="I28" s="386" t="s">
        <v>1</v>
      </c>
      <c r="J28" s="388" t="s">
        <v>0</v>
      </c>
      <c r="K28" s="388" t="s">
        <v>32</v>
      </c>
      <c r="L28" s="388" t="s">
        <v>33</v>
      </c>
      <c r="M28" s="390" t="s">
        <v>34</v>
      </c>
      <c r="O28" s="386" t="s">
        <v>1</v>
      </c>
      <c r="P28" s="388" t="s">
        <v>0</v>
      </c>
      <c r="Q28" s="388" t="s">
        <v>32</v>
      </c>
      <c r="R28" s="388" t="s">
        <v>33</v>
      </c>
      <c r="S28" s="390" t="s">
        <v>34</v>
      </c>
      <c r="U28" s="405" t="s">
        <v>1</v>
      </c>
      <c r="V28" s="392" t="s">
        <v>0</v>
      </c>
      <c r="W28" s="392" t="s">
        <v>32</v>
      </c>
      <c r="X28" s="392" t="s">
        <v>33</v>
      </c>
      <c r="Y28" s="394" t="s">
        <v>34</v>
      </c>
    </row>
    <row r="29" spans="2:33" ht="13.5" thickBot="1" x14ac:dyDescent="0.25">
      <c r="B29" s="23"/>
      <c r="C29" s="387"/>
      <c r="D29" s="389"/>
      <c r="E29" s="389"/>
      <c r="F29" s="389"/>
      <c r="G29" s="391"/>
      <c r="I29" s="387"/>
      <c r="J29" s="389"/>
      <c r="K29" s="389"/>
      <c r="L29" s="389"/>
      <c r="M29" s="391"/>
      <c r="O29" s="387"/>
      <c r="P29" s="419"/>
      <c r="Q29" s="419"/>
      <c r="R29" s="419"/>
      <c r="S29" s="426"/>
      <c r="U29" s="406"/>
      <c r="V29" s="407"/>
      <c r="W29" s="407"/>
      <c r="X29" s="407"/>
      <c r="Y29" s="409"/>
    </row>
    <row r="30" spans="2:33" x14ac:dyDescent="0.2">
      <c r="B30" s="23"/>
      <c r="C30" s="7">
        <v>43101</v>
      </c>
      <c r="D30" s="59">
        <v>5</v>
      </c>
      <c r="E30" s="51">
        <v>83.2</v>
      </c>
      <c r="F30" s="51">
        <v>75</v>
      </c>
      <c r="G30" s="18">
        <f>+E30/D30</f>
        <v>16.64</v>
      </c>
      <c r="I30" s="7">
        <v>43101</v>
      </c>
      <c r="J30" s="8">
        <v>5</v>
      </c>
      <c r="K30" s="8">
        <v>38</v>
      </c>
      <c r="L30" s="51">
        <v>74.5</v>
      </c>
      <c r="M30" s="18">
        <f t="shared" ref="M30:M35" si="8">+K30/J30</f>
        <v>7.6</v>
      </c>
      <c r="O30" s="7">
        <v>43101</v>
      </c>
      <c r="P30" s="183">
        <v>6</v>
      </c>
      <c r="Q30" s="183">
        <v>5</v>
      </c>
      <c r="R30" s="182">
        <v>28.8</v>
      </c>
      <c r="S30" s="181">
        <f t="shared" ref="S30:S35" si="9">+Q30/P30</f>
        <v>0.83333333333333337</v>
      </c>
      <c r="U30" s="7">
        <v>43101</v>
      </c>
      <c r="V30" s="8">
        <v>4</v>
      </c>
      <c r="W30" s="8">
        <v>25</v>
      </c>
      <c r="X30" s="51">
        <v>25.4</v>
      </c>
      <c r="Y30" s="18">
        <f>+W30/V30</f>
        <v>6.25</v>
      </c>
      <c r="AB30" s="46"/>
    </row>
    <row r="31" spans="2:33" x14ac:dyDescent="0.2">
      <c r="B31" s="23"/>
      <c r="C31" s="7">
        <v>43132</v>
      </c>
      <c r="D31" s="4">
        <v>5</v>
      </c>
      <c r="E31" s="175">
        <v>11.9</v>
      </c>
      <c r="F31" s="48">
        <v>38.869999999999997</v>
      </c>
      <c r="G31" s="18">
        <f>+E31/D31</f>
        <v>2.38</v>
      </c>
      <c r="I31" s="7">
        <v>43132</v>
      </c>
      <c r="J31" s="4">
        <v>5</v>
      </c>
      <c r="K31" s="8">
        <v>38</v>
      </c>
      <c r="L31" s="51">
        <v>74.5</v>
      </c>
      <c r="M31" s="18">
        <f t="shared" si="8"/>
        <v>7.6</v>
      </c>
      <c r="O31" s="7">
        <v>43132</v>
      </c>
      <c r="P31" s="4">
        <v>6</v>
      </c>
      <c r="Q31" s="11">
        <v>7</v>
      </c>
      <c r="R31" s="9">
        <v>39</v>
      </c>
      <c r="S31" s="18">
        <f t="shared" si="9"/>
        <v>1.1666666666666667</v>
      </c>
      <c r="U31" s="7">
        <v>43132</v>
      </c>
      <c r="V31" s="4">
        <v>4</v>
      </c>
      <c r="W31" s="4">
        <v>30</v>
      </c>
      <c r="X31" s="48">
        <v>33.200000000000003</v>
      </c>
      <c r="Y31" s="18">
        <f>+W31/V31</f>
        <v>7.5</v>
      </c>
      <c r="AB31" s="46"/>
    </row>
    <row r="32" spans="2:33" x14ac:dyDescent="0.2">
      <c r="B32" s="23"/>
      <c r="C32" s="7">
        <v>43160</v>
      </c>
      <c r="D32" s="4">
        <v>5</v>
      </c>
      <c r="E32" s="180">
        <v>11.05</v>
      </c>
      <c r="F32" s="48">
        <v>36.590000000000003</v>
      </c>
      <c r="G32" s="18">
        <f>+E32/D32</f>
        <v>2.21</v>
      </c>
      <c r="I32" s="7">
        <v>43160</v>
      </c>
      <c r="J32" s="4">
        <v>5</v>
      </c>
      <c r="K32" s="4">
        <v>38</v>
      </c>
      <c r="L32" s="48">
        <v>74.5</v>
      </c>
      <c r="M32" s="18">
        <f t="shared" si="8"/>
        <v>7.6</v>
      </c>
      <c r="O32" s="7">
        <v>43160</v>
      </c>
      <c r="P32" s="4">
        <v>6</v>
      </c>
      <c r="Q32" s="4">
        <v>8</v>
      </c>
      <c r="R32" s="9">
        <v>43.5</v>
      </c>
      <c r="S32" s="18">
        <f t="shared" si="9"/>
        <v>1.3333333333333333</v>
      </c>
      <c r="U32" s="7">
        <v>43160</v>
      </c>
      <c r="V32" s="4">
        <v>4</v>
      </c>
      <c r="W32" s="4">
        <v>36</v>
      </c>
      <c r="X32" s="48">
        <v>38</v>
      </c>
      <c r="Y32" s="18">
        <f>+W32/V32</f>
        <v>9</v>
      </c>
      <c r="AB32" s="46"/>
    </row>
    <row r="33" spans="2:28" x14ac:dyDescent="0.2">
      <c r="B33" s="23"/>
      <c r="C33" s="7">
        <v>43191</v>
      </c>
      <c r="D33" s="4">
        <v>5</v>
      </c>
      <c r="E33" s="175">
        <f>0.65*14</f>
        <v>9.1</v>
      </c>
      <c r="F33" s="175">
        <f>0.65*47.5</f>
        <v>30.875</v>
      </c>
      <c r="G33" s="18">
        <f>+E33/D33</f>
        <v>1.8199999999999998</v>
      </c>
      <c r="I33" s="7">
        <v>43191</v>
      </c>
      <c r="J33" s="4">
        <v>5</v>
      </c>
      <c r="K33" s="4">
        <v>38</v>
      </c>
      <c r="L33" s="48">
        <v>74.5</v>
      </c>
      <c r="M33" s="18">
        <f t="shared" si="8"/>
        <v>7.6</v>
      </c>
      <c r="O33" s="7">
        <v>43191</v>
      </c>
      <c r="P33" s="4">
        <v>6</v>
      </c>
      <c r="Q33" s="11">
        <v>8</v>
      </c>
      <c r="R33" s="9">
        <v>71.2</v>
      </c>
      <c r="S33" s="18">
        <f t="shared" si="9"/>
        <v>1.3333333333333333</v>
      </c>
      <c r="U33" s="7">
        <v>43191</v>
      </c>
      <c r="V33" s="4">
        <v>4</v>
      </c>
      <c r="W33" s="4">
        <v>27</v>
      </c>
      <c r="X33" s="48">
        <v>50.8</v>
      </c>
      <c r="Y33" s="18">
        <f t="shared" ref="Y33:Y35" si="10">+W33/V33</f>
        <v>6.75</v>
      </c>
      <c r="AB33" s="46"/>
    </row>
    <row r="34" spans="2:28" x14ac:dyDescent="0.2">
      <c r="B34" s="23"/>
      <c r="C34" s="7">
        <v>43221</v>
      </c>
      <c r="D34" s="4">
        <v>5</v>
      </c>
      <c r="E34" s="175">
        <v>9.1</v>
      </c>
      <c r="F34" s="50">
        <v>30.88</v>
      </c>
      <c r="G34" s="18">
        <f t="shared" ref="G34:G35" si="11">+E34/D34</f>
        <v>1.8199999999999998</v>
      </c>
      <c r="I34" s="7">
        <v>43221</v>
      </c>
      <c r="J34" s="4">
        <v>5</v>
      </c>
      <c r="K34" s="4">
        <v>38</v>
      </c>
      <c r="L34" s="48">
        <v>74.5</v>
      </c>
      <c r="M34" s="18">
        <f t="shared" si="8"/>
        <v>7.6</v>
      </c>
      <c r="O34" s="7">
        <v>43221</v>
      </c>
      <c r="P34" s="4">
        <v>6</v>
      </c>
      <c r="Q34" s="4">
        <v>7</v>
      </c>
      <c r="R34" s="48">
        <v>41.5</v>
      </c>
      <c r="S34" s="18">
        <f t="shared" si="9"/>
        <v>1.1666666666666667</v>
      </c>
      <c r="U34" s="7">
        <v>43221</v>
      </c>
      <c r="V34" s="2">
        <v>4</v>
      </c>
      <c r="W34" s="2">
        <v>48</v>
      </c>
      <c r="X34" s="60">
        <v>100.3</v>
      </c>
      <c r="Y34" s="18">
        <f t="shared" si="10"/>
        <v>12</v>
      </c>
      <c r="AB34" s="46"/>
    </row>
    <row r="35" spans="2:28" x14ac:dyDescent="0.2">
      <c r="B35" s="23"/>
      <c r="C35" s="7">
        <v>43252</v>
      </c>
      <c r="D35" s="4">
        <v>5</v>
      </c>
      <c r="E35" s="175">
        <f>0.65*24</f>
        <v>15.600000000000001</v>
      </c>
      <c r="F35" s="50">
        <f>0.65*78.2</f>
        <v>50.830000000000005</v>
      </c>
      <c r="G35" s="18">
        <f t="shared" si="11"/>
        <v>3.12</v>
      </c>
      <c r="I35" s="7">
        <v>43252</v>
      </c>
      <c r="J35" s="12">
        <v>5</v>
      </c>
      <c r="K35" s="11">
        <v>38</v>
      </c>
      <c r="L35" s="48">
        <v>74.5</v>
      </c>
      <c r="M35" s="18">
        <f t="shared" si="8"/>
        <v>7.6</v>
      </c>
      <c r="O35" s="7">
        <v>43252</v>
      </c>
      <c r="P35" s="4">
        <v>6</v>
      </c>
      <c r="Q35" s="4">
        <v>7</v>
      </c>
      <c r="R35" s="48">
        <v>41.5</v>
      </c>
      <c r="S35" s="18">
        <f t="shared" si="9"/>
        <v>1.1666666666666667</v>
      </c>
      <c r="U35" s="7">
        <v>43252</v>
      </c>
      <c r="V35" s="2">
        <v>4</v>
      </c>
      <c r="W35" s="2">
        <v>35</v>
      </c>
      <c r="X35" s="61">
        <v>68.400000000000006</v>
      </c>
      <c r="Y35" s="18">
        <f t="shared" si="10"/>
        <v>8.75</v>
      </c>
      <c r="AB35" s="46"/>
    </row>
    <row r="36" spans="2:28" x14ac:dyDescent="0.2">
      <c r="B36" s="23"/>
      <c r="C36" s="7">
        <v>43282</v>
      </c>
      <c r="D36" s="4">
        <v>5</v>
      </c>
      <c r="E36" s="175">
        <f>0.65*14</f>
        <v>9.1</v>
      </c>
      <c r="F36" s="175">
        <f>0.65*47.5</f>
        <v>30.875</v>
      </c>
      <c r="G36" s="18">
        <f>+E36/D36</f>
        <v>1.8199999999999998</v>
      </c>
      <c r="I36" s="7">
        <v>43282</v>
      </c>
      <c r="J36" s="12">
        <v>5</v>
      </c>
      <c r="K36" s="11">
        <v>38</v>
      </c>
      <c r="L36" s="48">
        <v>74.5</v>
      </c>
      <c r="M36" s="18">
        <f>+K36/J36</f>
        <v>7.6</v>
      </c>
      <c r="O36" s="7">
        <v>43282</v>
      </c>
      <c r="P36" s="4">
        <v>6</v>
      </c>
      <c r="Q36" s="11">
        <v>8</v>
      </c>
      <c r="R36" s="9">
        <v>71.2</v>
      </c>
      <c r="S36" s="18">
        <f t="shared" ref="S36:S40" si="12">+Q36/P36</f>
        <v>1.3333333333333333</v>
      </c>
      <c r="U36" s="7">
        <v>43282</v>
      </c>
      <c r="V36" s="4">
        <v>4</v>
      </c>
      <c r="W36" s="4">
        <v>27</v>
      </c>
      <c r="X36" s="48">
        <v>50.8</v>
      </c>
      <c r="Y36" s="18">
        <f t="shared" ref="Y36:Y40" si="13">+W36/V36</f>
        <v>6.75</v>
      </c>
      <c r="AB36" s="46"/>
    </row>
    <row r="37" spans="2:28" x14ac:dyDescent="0.2">
      <c r="B37" s="23"/>
      <c r="C37" s="7">
        <v>43313</v>
      </c>
      <c r="D37" s="4">
        <v>5</v>
      </c>
      <c r="E37" s="175">
        <v>9.1</v>
      </c>
      <c r="F37" s="50">
        <v>30.88</v>
      </c>
      <c r="G37" s="18">
        <f t="shared" ref="G37:G40" si="14">+E37/D37</f>
        <v>1.8199999999999998</v>
      </c>
      <c r="I37" s="7">
        <v>43313</v>
      </c>
      <c r="J37" s="12">
        <v>5</v>
      </c>
      <c r="K37" s="11">
        <v>38</v>
      </c>
      <c r="L37" s="48">
        <v>74.5</v>
      </c>
      <c r="M37" s="18">
        <f>+K37/J37</f>
        <v>7.6</v>
      </c>
      <c r="O37" s="7">
        <v>43313</v>
      </c>
      <c r="P37" s="4">
        <v>6</v>
      </c>
      <c r="Q37" s="4">
        <v>7</v>
      </c>
      <c r="R37" s="48">
        <v>41.5</v>
      </c>
      <c r="S37" s="18">
        <f t="shared" si="12"/>
        <v>1.1666666666666667</v>
      </c>
      <c r="U37" s="7">
        <v>43313</v>
      </c>
      <c r="V37" s="2">
        <v>4</v>
      </c>
      <c r="W37" s="2">
        <v>48</v>
      </c>
      <c r="X37" s="60">
        <v>100.3</v>
      </c>
      <c r="Y37" s="18">
        <f t="shared" si="13"/>
        <v>12</v>
      </c>
      <c r="AB37" s="46"/>
    </row>
    <row r="38" spans="2:28" x14ac:dyDescent="0.2">
      <c r="B38" s="23"/>
      <c r="C38" s="7">
        <v>43344</v>
      </c>
      <c r="D38" s="4">
        <v>5</v>
      </c>
      <c r="E38" s="175">
        <f>0.65*24</f>
        <v>15.600000000000001</v>
      </c>
      <c r="F38" s="50">
        <f>0.65*78.2</f>
        <v>50.830000000000005</v>
      </c>
      <c r="G38" s="18">
        <f t="shared" si="14"/>
        <v>3.12</v>
      </c>
      <c r="I38" s="7">
        <v>43344</v>
      </c>
      <c r="J38" s="12">
        <v>5</v>
      </c>
      <c r="K38" s="11">
        <v>38</v>
      </c>
      <c r="L38" s="48">
        <v>74.5</v>
      </c>
      <c r="M38" s="18">
        <f>+K38/J38</f>
        <v>7.6</v>
      </c>
      <c r="O38" s="7">
        <v>43344</v>
      </c>
      <c r="P38" s="4">
        <v>6</v>
      </c>
      <c r="Q38" s="4">
        <v>7</v>
      </c>
      <c r="R38" s="48">
        <v>41.5</v>
      </c>
      <c r="S38" s="18">
        <f t="shared" si="12"/>
        <v>1.1666666666666667</v>
      </c>
      <c r="U38" s="7">
        <v>43344</v>
      </c>
      <c r="V38" s="2">
        <v>4</v>
      </c>
      <c r="W38" s="2">
        <v>35</v>
      </c>
      <c r="X38" s="61">
        <v>68.400000000000006</v>
      </c>
      <c r="Y38" s="18">
        <f t="shared" si="13"/>
        <v>8.75</v>
      </c>
      <c r="AB38" s="46"/>
    </row>
    <row r="39" spans="2:28" x14ac:dyDescent="0.2">
      <c r="B39" s="23"/>
      <c r="C39" s="7">
        <v>43374</v>
      </c>
      <c r="D39" s="4">
        <v>5</v>
      </c>
      <c r="E39" s="199">
        <f>0.65*29</f>
        <v>18.850000000000001</v>
      </c>
      <c r="F39" s="138">
        <f>0.65*96</f>
        <v>62.400000000000006</v>
      </c>
      <c r="G39" s="18">
        <f t="shared" si="14"/>
        <v>3.7700000000000005</v>
      </c>
      <c r="I39" s="7">
        <v>43374</v>
      </c>
      <c r="J39" s="12">
        <v>5</v>
      </c>
      <c r="K39" s="11">
        <v>38</v>
      </c>
      <c r="L39" s="48">
        <v>74.5</v>
      </c>
      <c r="M39" s="18">
        <f t="shared" ref="M39:M41" si="15">+K39/J39</f>
        <v>7.6</v>
      </c>
      <c r="O39" s="7">
        <v>43374</v>
      </c>
      <c r="P39" s="4">
        <v>6</v>
      </c>
      <c r="Q39" s="11">
        <v>4</v>
      </c>
      <c r="R39" s="9">
        <v>24.9</v>
      </c>
      <c r="S39" s="18">
        <f t="shared" si="12"/>
        <v>0.66666666666666663</v>
      </c>
      <c r="U39" s="7">
        <v>43374</v>
      </c>
      <c r="V39" s="4">
        <v>4</v>
      </c>
      <c r="W39" s="62">
        <v>59</v>
      </c>
      <c r="X39" s="63">
        <v>92.8</v>
      </c>
      <c r="Y39" s="20">
        <f t="shared" si="13"/>
        <v>14.75</v>
      </c>
      <c r="AB39" s="179"/>
    </row>
    <row r="40" spans="2:28" x14ac:dyDescent="0.2">
      <c r="B40" s="23"/>
      <c r="C40" s="7">
        <v>43405</v>
      </c>
      <c r="D40" s="4">
        <v>5</v>
      </c>
      <c r="E40" s="175">
        <f>0.65*32</f>
        <v>20.8</v>
      </c>
      <c r="F40" s="9">
        <f>0.65*105.9</f>
        <v>68.835000000000008</v>
      </c>
      <c r="G40" s="18">
        <f t="shared" si="14"/>
        <v>4.16</v>
      </c>
      <c r="I40" s="7">
        <v>43405</v>
      </c>
      <c r="J40" s="12">
        <v>5</v>
      </c>
      <c r="K40" s="11">
        <v>38</v>
      </c>
      <c r="L40" s="48">
        <v>74.5</v>
      </c>
      <c r="M40" s="18">
        <f t="shared" si="15"/>
        <v>7.6</v>
      </c>
      <c r="O40" s="7">
        <v>43405</v>
      </c>
      <c r="P40" s="4">
        <v>6</v>
      </c>
      <c r="Q40" s="11">
        <v>6</v>
      </c>
      <c r="R40" s="9">
        <v>34.9</v>
      </c>
      <c r="S40" s="18">
        <f t="shared" si="12"/>
        <v>1</v>
      </c>
      <c r="U40" s="7">
        <v>43405</v>
      </c>
      <c r="V40" s="4">
        <v>4</v>
      </c>
      <c r="W40" s="62">
        <v>59</v>
      </c>
      <c r="X40" s="63">
        <v>92.8</v>
      </c>
      <c r="Y40" s="20">
        <f t="shared" si="13"/>
        <v>14.75</v>
      </c>
      <c r="AB40" s="46"/>
    </row>
    <row r="41" spans="2:28" ht="15.75" customHeight="1" thickBot="1" x14ac:dyDescent="0.25">
      <c r="B41" s="23"/>
      <c r="C41" s="7">
        <v>43435</v>
      </c>
      <c r="D41" s="351" t="s">
        <v>117</v>
      </c>
      <c r="E41" s="352"/>
      <c r="F41" s="352"/>
      <c r="G41" s="353"/>
      <c r="I41" s="7">
        <v>43435</v>
      </c>
      <c r="J41" s="12">
        <v>5</v>
      </c>
      <c r="K41" s="11">
        <v>38</v>
      </c>
      <c r="L41" s="48">
        <v>74.5</v>
      </c>
      <c r="M41" s="18">
        <f t="shared" si="15"/>
        <v>7.6</v>
      </c>
      <c r="O41" s="7">
        <v>43435</v>
      </c>
      <c r="P41" s="176">
        <v>6</v>
      </c>
      <c r="Q41" s="373" t="s">
        <v>117</v>
      </c>
      <c r="R41" s="374"/>
      <c r="S41" s="375"/>
      <c r="U41" s="7">
        <v>43435</v>
      </c>
      <c r="V41" s="2">
        <v>4</v>
      </c>
      <c r="W41" s="373" t="s">
        <v>120</v>
      </c>
      <c r="X41" s="374"/>
      <c r="Y41" s="375"/>
      <c r="AB41" s="46"/>
    </row>
    <row r="42" spans="2:28" ht="13.5" thickBot="1" x14ac:dyDescent="0.25">
      <c r="B42" s="23"/>
      <c r="C42" s="25" t="s">
        <v>2</v>
      </c>
      <c r="D42" s="26">
        <f>AVERAGE(D30:D41)</f>
        <v>5</v>
      </c>
      <c r="E42" s="26">
        <f>AVERAGE(E30:E41)</f>
        <v>19.399999999999999</v>
      </c>
      <c r="F42" s="26">
        <f>AVERAGE(F30:F41)</f>
        <v>46.078636363636363</v>
      </c>
      <c r="G42" s="191">
        <f>AVERAGE(G30:G41)</f>
        <v>3.8800000000000008</v>
      </c>
      <c r="I42" s="25" t="s">
        <v>2</v>
      </c>
      <c r="J42" s="26">
        <f>AVERAGE(J30:J41)</f>
        <v>5</v>
      </c>
      <c r="K42" s="26">
        <f>AVERAGE(K30:K41)</f>
        <v>38</v>
      </c>
      <c r="L42" s="26">
        <f>AVERAGE(L30:L41)</f>
        <v>74.5</v>
      </c>
      <c r="M42" s="27">
        <f>AVERAGE(M30:M41)</f>
        <v>7.5999999999999988</v>
      </c>
      <c r="O42" s="25" t="s">
        <v>2</v>
      </c>
      <c r="P42" s="26">
        <f>AVERAGE(P30:P41)</f>
        <v>6</v>
      </c>
      <c r="Q42" s="26">
        <f>AVERAGE(Q30:Q41)</f>
        <v>6.7272727272727275</v>
      </c>
      <c r="R42" s="26">
        <f>AVERAGE(R30:R41)</f>
        <v>43.590909090909086</v>
      </c>
      <c r="S42" s="26">
        <f>AVERAGE(S30:S41)</f>
        <v>1.1212121212121211</v>
      </c>
      <c r="U42" s="220" t="s">
        <v>2</v>
      </c>
      <c r="V42" s="5">
        <f>AVERAGE(V30:V41)</f>
        <v>4</v>
      </c>
      <c r="W42" s="5">
        <f>AVERAGE(W30:W41)</f>
        <v>39</v>
      </c>
      <c r="X42" s="5">
        <f>AVERAGE(X30:X41)</f>
        <v>65.563636363636363</v>
      </c>
      <c r="Y42" s="5">
        <f>AVERAGE(Y30:Y41)</f>
        <v>9.75</v>
      </c>
    </row>
    <row r="43" spans="2:28" x14ac:dyDescent="0.2">
      <c r="B43" s="23"/>
      <c r="C43" s="64" t="s">
        <v>38</v>
      </c>
      <c r="F43" s="23"/>
      <c r="G43" s="45"/>
    </row>
    <row r="44" spans="2:28" x14ac:dyDescent="0.2">
      <c r="B44" s="23"/>
      <c r="C44" s="45"/>
      <c r="F44" s="23"/>
      <c r="G44" s="45"/>
    </row>
    <row r="45" spans="2:28" ht="13.5" thickBot="1" x14ac:dyDescent="0.25">
      <c r="B45" s="23"/>
      <c r="C45" s="45"/>
      <c r="F45" s="23"/>
      <c r="G45" s="45"/>
    </row>
    <row r="46" spans="2:28" ht="13.5" thickBot="1" x14ac:dyDescent="0.25">
      <c r="B46" s="23"/>
      <c r="C46" s="382" t="s">
        <v>111</v>
      </c>
      <c r="D46" s="383"/>
      <c r="E46" s="383"/>
      <c r="F46" s="383"/>
      <c r="G46" s="384"/>
      <c r="I46" s="382" t="s">
        <v>111</v>
      </c>
      <c r="J46" s="383"/>
      <c r="K46" s="383"/>
      <c r="L46" s="383"/>
      <c r="M46" s="384"/>
      <c r="O46" s="382" t="s">
        <v>111</v>
      </c>
      <c r="P46" s="383"/>
      <c r="Q46" s="383"/>
      <c r="R46" s="383"/>
      <c r="S46" s="384"/>
      <c r="U46" s="382" t="s">
        <v>111</v>
      </c>
      <c r="V46" s="383"/>
      <c r="W46" s="383"/>
      <c r="X46" s="383"/>
      <c r="Y46" s="384"/>
    </row>
    <row r="47" spans="2:28" ht="15" x14ac:dyDescent="0.25">
      <c r="B47" s="23"/>
      <c r="C47" s="365" t="s">
        <v>15</v>
      </c>
      <c r="D47" s="365"/>
      <c r="E47" s="365"/>
      <c r="F47" s="365"/>
      <c r="G47" s="365"/>
      <c r="I47" s="365" t="s">
        <v>16</v>
      </c>
      <c r="J47" s="365"/>
      <c r="K47" s="365"/>
      <c r="L47" s="365"/>
      <c r="M47" s="365"/>
      <c r="O47" s="365" t="s">
        <v>17</v>
      </c>
      <c r="P47" s="365"/>
      <c r="Q47" s="365"/>
      <c r="R47" s="365"/>
      <c r="S47" s="365"/>
      <c r="U47" s="365" t="s">
        <v>18</v>
      </c>
      <c r="V47" s="365"/>
      <c r="W47" s="365"/>
      <c r="X47" s="365"/>
      <c r="Y47" s="365"/>
    </row>
    <row r="48" spans="2:28" ht="13.5" thickBot="1" x14ac:dyDescent="0.25">
      <c r="B48" s="23"/>
      <c r="C48" s="22"/>
      <c r="D48" s="22"/>
      <c r="E48" s="22"/>
      <c r="F48" s="22"/>
      <c r="G48" s="45"/>
      <c r="I48" s="22"/>
      <c r="J48" s="22"/>
      <c r="K48" s="22"/>
      <c r="L48" s="22"/>
      <c r="M48" s="45"/>
      <c r="O48" s="22"/>
      <c r="P48" s="22"/>
      <c r="Q48" s="22"/>
      <c r="R48" s="22"/>
      <c r="S48" s="45"/>
      <c r="U48" s="22"/>
      <c r="V48" s="22"/>
      <c r="W48" s="22"/>
      <c r="X48" s="22"/>
      <c r="Y48" s="45"/>
    </row>
    <row r="49" spans="2:25" x14ac:dyDescent="0.2">
      <c r="B49" s="23"/>
      <c r="C49" s="386" t="s">
        <v>1</v>
      </c>
      <c r="D49" s="388" t="s">
        <v>0</v>
      </c>
      <c r="E49" s="388" t="s">
        <v>32</v>
      </c>
      <c r="F49" s="388" t="s">
        <v>33</v>
      </c>
      <c r="G49" s="390" t="s">
        <v>34</v>
      </c>
      <c r="I49" s="386" t="s">
        <v>1</v>
      </c>
      <c r="J49" s="388" t="s">
        <v>0</v>
      </c>
      <c r="K49" s="388" t="s">
        <v>32</v>
      </c>
      <c r="L49" s="388" t="s">
        <v>33</v>
      </c>
      <c r="M49" s="390" t="s">
        <v>34</v>
      </c>
      <c r="O49" s="386" t="s">
        <v>1</v>
      </c>
      <c r="P49" s="388" t="s">
        <v>0</v>
      </c>
      <c r="Q49" s="388" t="s">
        <v>32</v>
      </c>
      <c r="R49" s="388" t="s">
        <v>33</v>
      </c>
      <c r="S49" s="390" t="s">
        <v>34</v>
      </c>
      <c r="U49" s="386" t="s">
        <v>1</v>
      </c>
      <c r="V49" s="388" t="s">
        <v>0</v>
      </c>
      <c r="W49" s="388" t="s">
        <v>32</v>
      </c>
      <c r="X49" s="388" t="s">
        <v>33</v>
      </c>
      <c r="Y49" s="390" t="s">
        <v>34</v>
      </c>
    </row>
    <row r="50" spans="2:25" ht="13.5" thickBot="1" x14ac:dyDescent="0.25">
      <c r="B50" s="23"/>
      <c r="C50" s="387"/>
      <c r="D50" s="389"/>
      <c r="E50" s="389"/>
      <c r="F50" s="389"/>
      <c r="G50" s="391"/>
      <c r="I50" s="387"/>
      <c r="J50" s="389"/>
      <c r="K50" s="389"/>
      <c r="L50" s="389"/>
      <c r="M50" s="391"/>
      <c r="O50" s="387"/>
      <c r="P50" s="389"/>
      <c r="Q50" s="389"/>
      <c r="R50" s="389"/>
      <c r="S50" s="391"/>
      <c r="U50" s="387"/>
      <c r="V50" s="389"/>
      <c r="W50" s="389"/>
      <c r="X50" s="389"/>
      <c r="Y50" s="391"/>
    </row>
    <row r="51" spans="2:25" x14ac:dyDescent="0.2">
      <c r="B51" s="23"/>
      <c r="C51" s="7">
        <v>43101</v>
      </c>
      <c r="D51" s="8">
        <v>5</v>
      </c>
      <c r="E51" s="200">
        <v>6</v>
      </c>
      <c r="F51" s="48">
        <v>14</v>
      </c>
      <c r="G51" s="18">
        <f>+E51/D51</f>
        <v>1.2</v>
      </c>
      <c r="I51" s="7">
        <v>43101</v>
      </c>
      <c r="J51" s="8"/>
      <c r="K51" s="422"/>
      <c r="L51" s="51"/>
      <c r="M51" s="18"/>
      <c r="O51" s="7">
        <v>43101</v>
      </c>
      <c r="P51" s="8">
        <v>6</v>
      </c>
      <c r="Q51" s="8">
        <v>7</v>
      </c>
      <c r="R51" s="48">
        <v>25.35</v>
      </c>
      <c r="S51" s="18">
        <f>+Q51/P51</f>
        <v>1.1666666666666667</v>
      </c>
      <c r="U51" s="7">
        <v>43101</v>
      </c>
      <c r="V51" s="8">
        <v>6</v>
      </c>
      <c r="W51" s="8">
        <v>61</v>
      </c>
      <c r="X51" s="51">
        <v>151.80000000000001</v>
      </c>
      <c r="Y51" s="18">
        <f>+W51/V51</f>
        <v>10.166666666666666</v>
      </c>
    </row>
    <row r="52" spans="2:25" x14ac:dyDescent="0.2">
      <c r="B52" s="23"/>
      <c r="C52" s="7">
        <v>43132</v>
      </c>
      <c r="D52" s="4">
        <v>5</v>
      </c>
      <c r="E52" s="4">
        <v>4</v>
      </c>
      <c r="F52" s="65">
        <v>9.8000000000000007</v>
      </c>
      <c r="G52" s="18">
        <f>+E52/D52</f>
        <v>0.8</v>
      </c>
      <c r="H52" s="66"/>
      <c r="I52" s="7">
        <v>43132</v>
      </c>
      <c r="J52" s="4"/>
      <c r="K52" s="410"/>
      <c r="L52" s="48"/>
      <c r="M52" s="18"/>
      <c r="O52" s="7">
        <v>43132</v>
      </c>
      <c r="P52" s="4">
        <v>6</v>
      </c>
      <c r="Q52" s="4">
        <v>6</v>
      </c>
      <c r="R52" s="48">
        <v>22.25</v>
      </c>
      <c r="S52" s="18">
        <f>+Q52/P52</f>
        <v>1</v>
      </c>
      <c r="U52" s="7">
        <v>43132</v>
      </c>
      <c r="V52" s="4">
        <v>6</v>
      </c>
      <c r="W52" s="4">
        <v>11</v>
      </c>
      <c r="X52" s="48">
        <v>34.92</v>
      </c>
      <c r="Y52" s="18">
        <f>+W52/V52</f>
        <v>1.8333333333333333</v>
      </c>
    </row>
    <row r="53" spans="2:25" x14ac:dyDescent="0.2">
      <c r="B53" s="23"/>
      <c r="C53" s="7">
        <v>43160</v>
      </c>
      <c r="D53" s="4">
        <v>5</v>
      </c>
      <c r="E53" s="4">
        <v>4</v>
      </c>
      <c r="F53" s="50">
        <v>9.8000000000000007</v>
      </c>
      <c r="G53" s="18">
        <f>+E53/D53</f>
        <v>0.8</v>
      </c>
      <c r="I53" s="7">
        <v>43160</v>
      </c>
      <c r="J53" s="4"/>
      <c r="K53" s="410"/>
      <c r="L53" s="48"/>
      <c r="M53" s="18"/>
      <c r="O53" s="7">
        <v>43160</v>
      </c>
      <c r="P53" s="4">
        <v>6</v>
      </c>
      <c r="Q53" s="4">
        <v>12</v>
      </c>
      <c r="R53" s="48">
        <v>41.55</v>
      </c>
      <c r="S53" s="18">
        <f>+Q53/P53</f>
        <v>2</v>
      </c>
      <c r="U53" s="7">
        <v>43160</v>
      </c>
      <c r="V53" s="4">
        <v>6</v>
      </c>
      <c r="W53" s="4">
        <v>11</v>
      </c>
      <c r="X53" s="48">
        <v>34.92</v>
      </c>
      <c r="Y53" s="18">
        <f>+W53/V53</f>
        <v>1.8333333333333333</v>
      </c>
    </row>
    <row r="54" spans="2:25" x14ac:dyDescent="0.2">
      <c r="B54" s="23"/>
      <c r="C54" s="7">
        <v>43191</v>
      </c>
      <c r="D54" s="4">
        <v>5</v>
      </c>
      <c r="E54" s="4">
        <v>4</v>
      </c>
      <c r="F54" s="50">
        <v>9.8000000000000007</v>
      </c>
      <c r="G54" s="18">
        <f t="shared" ref="G54:G56" si="16">+E54/D54</f>
        <v>0.8</v>
      </c>
      <c r="I54" s="7">
        <v>43191</v>
      </c>
      <c r="J54" s="4"/>
      <c r="K54" s="410"/>
      <c r="L54" s="51"/>
      <c r="M54" s="18"/>
      <c r="O54" s="7">
        <v>43191</v>
      </c>
      <c r="P54" s="4">
        <v>6</v>
      </c>
      <c r="Q54" s="4">
        <v>9</v>
      </c>
      <c r="R54" s="48">
        <v>31.9</v>
      </c>
      <c r="S54" s="18">
        <f t="shared" ref="S54:S56" si="17">+Q54/P54</f>
        <v>1.5</v>
      </c>
      <c r="U54" s="7">
        <v>43191</v>
      </c>
      <c r="V54" s="4">
        <v>6</v>
      </c>
      <c r="W54" s="4">
        <v>11</v>
      </c>
      <c r="X54" s="48">
        <v>34.92</v>
      </c>
      <c r="Y54" s="18">
        <f t="shared" ref="Y54:Y56" si="18">+W54/V54</f>
        <v>1.8333333333333333</v>
      </c>
    </row>
    <row r="55" spans="2:25" x14ac:dyDescent="0.2">
      <c r="B55" s="23"/>
      <c r="C55" s="7">
        <v>43221</v>
      </c>
      <c r="D55" s="4">
        <v>5</v>
      </c>
      <c r="E55" s="4">
        <v>4</v>
      </c>
      <c r="F55" s="50">
        <v>9.8000000000000007</v>
      </c>
      <c r="G55" s="18">
        <f t="shared" si="16"/>
        <v>0.8</v>
      </c>
      <c r="I55" s="7">
        <v>43221</v>
      </c>
      <c r="J55" s="4"/>
      <c r="K55" s="410"/>
      <c r="L55" s="48"/>
      <c r="M55" s="18"/>
      <c r="O55" s="7">
        <v>43221</v>
      </c>
      <c r="P55" s="4">
        <v>6</v>
      </c>
      <c r="Q55" s="4">
        <v>10</v>
      </c>
      <c r="R55" s="48">
        <v>35.1</v>
      </c>
      <c r="S55" s="18">
        <f t="shared" si="17"/>
        <v>1.6666666666666667</v>
      </c>
      <c r="U55" s="7">
        <v>43221</v>
      </c>
      <c r="V55" s="4">
        <v>6</v>
      </c>
      <c r="W55" s="4">
        <v>11</v>
      </c>
      <c r="X55" s="48">
        <v>34.92</v>
      </c>
      <c r="Y55" s="18">
        <f t="shared" si="18"/>
        <v>1.8333333333333333</v>
      </c>
    </row>
    <row r="56" spans="2:25" x14ac:dyDescent="0.2">
      <c r="B56" s="23"/>
      <c r="C56" s="7">
        <v>43252</v>
      </c>
      <c r="D56" s="4">
        <v>5</v>
      </c>
      <c r="E56" s="4">
        <v>4</v>
      </c>
      <c r="F56" s="50">
        <v>9.8000000000000007</v>
      </c>
      <c r="G56" s="18">
        <f t="shared" si="16"/>
        <v>0.8</v>
      </c>
      <c r="I56" s="7">
        <v>43252</v>
      </c>
      <c r="J56" s="4"/>
      <c r="K56" s="410"/>
      <c r="L56" s="48"/>
      <c r="M56" s="18"/>
      <c r="O56" s="7">
        <v>43252</v>
      </c>
      <c r="P56" s="4">
        <v>6</v>
      </c>
      <c r="Q56" s="4">
        <v>8</v>
      </c>
      <c r="R56" s="50">
        <v>28.6</v>
      </c>
      <c r="S56" s="18">
        <f t="shared" si="17"/>
        <v>1.3333333333333333</v>
      </c>
      <c r="U56" s="7">
        <v>43252</v>
      </c>
      <c r="V56" s="4">
        <v>6</v>
      </c>
      <c r="W56" s="4">
        <v>11</v>
      </c>
      <c r="X56" s="48">
        <v>34.92</v>
      </c>
      <c r="Y56" s="18">
        <f t="shared" si="18"/>
        <v>1.8333333333333333</v>
      </c>
    </row>
    <row r="57" spans="2:25" x14ac:dyDescent="0.2">
      <c r="B57" s="23"/>
      <c r="C57" s="7">
        <v>43282</v>
      </c>
      <c r="D57" s="4">
        <v>5</v>
      </c>
      <c r="E57" s="4">
        <v>4</v>
      </c>
      <c r="F57" s="50">
        <v>9.8000000000000007</v>
      </c>
      <c r="G57" s="18">
        <f t="shared" ref="G57:G59" si="19">+E57/D57</f>
        <v>0.8</v>
      </c>
      <c r="I57" s="7">
        <v>43282</v>
      </c>
      <c r="J57" s="4"/>
      <c r="K57" s="410"/>
      <c r="L57" s="48"/>
      <c r="M57" s="18"/>
      <c r="O57" s="7">
        <v>43282</v>
      </c>
      <c r="P57" s="4">
        <v>6</v>
      </c>
      <c r="Q57" s="4">
        <v>9</v>
      </c>
      <c r="R57" s="48">
        <v>31.9</v>
      </c>
      <c r="S57" s="18">
        <f t="shared" ref="S57:S60" si="20">+Q57/P57</f>
        <v>1.5</v>
      </c>
      <c r="U57" s="7">
        <v>43282</v>
      </c>
      <c r="V57" s="4">
        <v>6</v>
      </c>
      <c r="W57" s="4">
        <v>11</v>
      </c>
      <c r="X57" s="48">
        <v>34.92</v>
      </c>
      <c r="Y57" s="18">
        <f t="shared" ref="Y57:Y58" si="21">+W57/V57</f>
        <v>1.8333333333333333</v>
      </c>
    </row>
    <row r="58" spans="2:25" x14ac:dyDescent="0.2">
      <c r="B58" s="23"/>
      <c r="C58" s="7">
        <v>43313</v>
      </c>
      <c r="D58" s="4">
        <v>5</v>
      </c>
      <c r="E58" s="4">
        <v>4</v>
      </c>
      <c r="F58" s="50">
        <v>9.8000000000000007</v>
      </c>
      <c r="G58" s="18">
        <f t="shared" si="19"/>
        <v>0.8</v>
      </c>
      <c r="I58" s="7">
        <v>43313</v>
      </c>
      <c r="J58" s="11"/>
      <c r="K58" s="410"/>
      <c r="L58" s="48"/>
      <c r="M58" s="18"/>
      <c r="O58" s="7">
        <v>43313</v>
      </c>
      <c r="P58" s="4">
        <v>6</v>
      </c>
      <c r="Q58" s="4">
        <v>10</v>
      </c>
      <c r="R58" s="48">
        <v>35.1</v>
      </c>
      <c r="S58" s="18">
        <f t="shared" si="20"/>
        <v>1.6666666666666667</v>
      </c>
      <c r="U58" s="7">
        <v>43313</v>
      </c>
      <c r="V58" s="4">
        <v>6</v>
      </c>
      <c r="W58" s="4">
        <v>11</v>
      </c>
      <c r="X58" s="48">
        <v>34.92</v>
      </c>
      <c r="Y58" s="18">
        <f t="shared" si="21"/>
        <v>1.8333333333333333</v>
      </c>
    </row>
    <row r="59" spans="2:25" x14ac:dyDescent="0.2">
      <c r="B59" s="23"/>
      <c r="C59" s="7">
        <v>43344</v>
      </c>
      <c r="D59" s="4">
        <v>5</v>
      </c>
      <c r="E59" s="4">
        <v>4</v>
      </c>
      <c r="F59" s="50">
        <v>9.8000000000000007</v>
      </c>
      <c r="G59" s="18">
        <f t="shared" si="19"/>
        <v>0.8</v>
      </c>
      <c r="I59" s="7">
        <v>43344</v>
      </c>
      <c r="J59" s="4"/>
      <c r="K59" s="410"/>
      <c r="L59" s="48"/>
      <c r="M59" s="18"/>
      <c r="O59" s="7">
        <v>43344</v>
      </c>
      <c r="P59" s="4">
        <v>6</v>
      </c>
      <c r="Q59" s="4">
        <v>8</v>
      </c>
      <c r="R59" s="50">
        <v>28.6</v>
      </c>
      <c r="S59" s="18">
        <f t="shared" si="20"/>
        <v>1.3333333333333333</v>
      </c>
      <c r="U59" s="7">
        <v>43344</v>
      </c>
      <c r="V59" s="4">
        <v>6</v>
      </c>
      <c r="W59" s="4">
        <v>11</v>
      </c>
      <c r="X59" s="48">
        <v>34.92</v>
      </c>
      <c r="Y59" s="18">
        <f t="shared" ref="Y59" si="22">+W59/V59</f>
        <v>1.8333333333333333</v>
      </c>
    </row>
    <row r="60" spans="2:25" x14ac:dyDescent="0.2">
      <c r="B60" s="23"/>
      <c r="C60" s="7">
        <v>43374</v>
      </c>
      <c r="D60" s="4">
        <v>5</v>
      </c>
      <c r="E60" s="4">
        <v>4</v>
      </c>
      <c r="F60" s="50">
        <v>9.8000000000000007</v>
      </c>
      <c r="G60" s="18">
        <f t="shared" ref="G60:G62" si="23">+E60/D60</f>
        <v>0.8</v>
      </c>
      <c r="I60" s="7">
        <v>43374</v>
      </c>
      <c r="J60" s="4"/>
      <c r="K60" s="410"/>
      <c r="L60" s="48"/>
      <c r="M60" s="18"/>
      <c r="O60" s="7">
        <v>43374</v>
      </c>
      <c r="P60" s="4">
        <v>6</v>
      </c>
      <c r="Q60" s="11">
        <v>9</v>
      </c>
      <c r="R60" s="9">
        <v>31.9</v>
      </c>
      <c r="S60" s="18">
        <f t="shared" si="20"/>
        <v>1.5</v>
      </c>
      <c r="U60" s="7">
        <v>43374</v>
      </c>
      <c r="V60" s="4">
        <v>6</v>
      </c>
      <c r="W60" s="11">
        <v>11</v>
      </c>
      <c r="X60" s="48">
        <v>35.92</v>
      </c>
      <c r="Y60" s="18">
        <f t="shared" ref="Y60:Y62" si="24">+W60/V60</f>
        <v>1.8333333333333333</v>
      </c>
    </row>
    <row r="61" spans="2:25" x14ac:dyDescent="0.2">
      <c r="B61" s="23"/>
      <c r="C61" s="7">
        <v>43405</v>
      </c>
      <c r="D61" s="4">
        <v>5</v>
      </c>
      <c r="E61" s="4">
        <v>4</v>
      </c>
      <c r="F61" s="50">
        <v>9.8000000000000007</v>
      </c>
      <c r="G61" s="18">
        <f t="shared" si="23"/>
        <v>0.8</v>
      </c>
      <c r="I61" s="7">
        <v>43405</v>
      </c>
      <c r="J61" s="4"/>
      <c r="K61" s="410"/>
      <c r="L61" s="48"/>
      <c r="M61" s="18"/>
      <c r="O61" s="7">
        <v>43405</v>
      </c>
      <c r="P61" s="4">
        <v>6</v>
      </c>
      <c r="Q61" s="4">
        <v>9</v>
      </c>
      <c r="R61" s="48">
        <v>31.9</v>
      </c>
      <c r="S61" s="18">
        <f t="shared" ref="S61:S62" si="25">+Q61/P61</f>
        <v>1.5</v>
      </c>
      <c r="U61" s="7">
        <v>43405</v>
      </c>
      <c r="V61" s="4">
        <v>6</v>
      </c>
      <c r="W61" s="11">
        <v>11</v>
      </c>
      <c r="X61" s="48">
        <v>36.92</v>
      </c>
      <c r="Y61" s="18">
        <f t="shared" si="24"/>
        <v>1.8333333333333333</v>
      </c>
    </row>
    <row r="62" spans="2:25" ht="13.5" thickBot="1" x14ac:dyDescent="0.25">
      <c r="B62" s="23"/>
      <c r="C62" s="7">
        <v>43435</v>
      </c>
      <c r="D62" s="4">
        <v>5</v>
      </c>
      <c r="E62" s="4">
        <v>4</v>
      </c>
      <c r="F62" s="50">
        <v>9.8000000000000007</v>
      </c>
      <c r="G62" s="18">
        <f t="shared" si="23"/>
        <v>0.8</v>
      </c>
      <c r="I62" s="7">
        <v>43435</v>
      </c>
      <c r="J62" s="14"/>
      <c r="K62" s="411"/>
      <c r="L62" s="48"/>
      <c r="M62" s="18"/>
      <c r="O62" s="7">
        <v>43435</v>
      </c>
      <c r="P62" s="14">
        <v>6</v>
      </c>
      <c r="Q62" s="4">
        <v>10</v>
      </c>
      <c r="R62" s="48">
        <v>35.1</v>
      </c>
      <c r="S62" s="18">
        <f t="shared" si="25"/>
        <v>1.6666666666666667</v>
      </c>
      <c r="U62" s="7">
        <v>43435</v>
      </c>
      <c r="V62" s="14">
        <v>6</v>
      </c>
      <c r="W62" s="53">
        <v>11</v>
      </c>
      <c r="X62" s="48">
        <v>37.92</v>
      </c>
      <c r="Y62" s="18">
        <f t="shared" si="24"/>
        <v>1.8333333333333333</v>
      </c>
    </row>
    <row r="63" spans="2:25" ht="13.5" thickBot="1" x14ac:dyDescent="0.25">
      <c r="B63" s="23"/>
      <c r="C63" s="25" t="s">
        <v>2</v>
      </c>
      <c r="D63" s="26">
        <f>AVERAGE(D51:D62)</f>
        <v>5</v>
      </c>
      <c r="E63" s="26">
        <f>AVERAGE(E51:E62)</f>
        <v>4.166666666666667</v>
      </c>
      <c r="F63" s="26">
        <f>AVERAGE(F51:F62)</f>
        <v>10.149999999999999</v>
      </c>
      <c r="G63" s="26">
        <f>AVERAGE(G51:G62)</f>
        <v>0.83333333333333337</v>
      </c>
      <c r="I63" s="25" t="s">
        <v>2</v>
      </c>
      <c r="J63" s="26"/>
      <c r="K63" s="26"/>
      <c r="L63" s="26"/>
      <c r="M63" s="26"/>
      <c r="O63" s="25" t="s">
        <v>2</v>
      </c>
      <c r="P63" s="26">
        <f>AVERAGE(P51:P62)</f>
        <v>6</v>
      </c>
      <c r="Q63" s="26">
        <f>AVERAGE(Q51:Q62)</f>
        <v>8.9166666666666661</v>
      </c>
      <c r="R63" s="26">
        <f>AVERAGE(R51:R62)</f>
        <v>31.604166666666668</v>
      </c>
      <c r="S63" s="26">
        <f>AVERAGE(S51:S62)</f>
        <v>1.4861111111111114</v>
      </c>
      <c r="U63" s="25" t="s">
        <v>2</v>
      </c>
      <c r="V63" s="26">
        <f>AVERAGE(V51:V62)</f>
        <v>6</v>
      </c>
      <c r="W63" s="26">
        <f>AVERAGE(W51:W62)</f>
        <v>15.166666666666666</v>
      </c>
      <c r="X63" s="26">
        <f>AVERAGE(X51:X62)</f>
        <v>45.160000000000018</v>
      </c>
      <c r="Y63" s="26">
        <f>AVERAGE(Y51:Y62)</f>
        <v>2.5277777777777772</v>
      </c>
    </row>
    <row r="64" spans="2:25" x14ac:dyDescent="0.2">
      <c r="B64" s="23"/>
      <c r="C64" s="45"/>
      <c r="F64" s="23"/>
      <c r="G64" s="45"/>
      <c r="I64" s="34" t="s">
        <v>39</v>
      </c>
    </row>
    <row r="65" spans="2:31" ht="13.5" thickBot="1" x14ac:dyDescent="0.25">
      <c r="B65" s="23"/>
      <c r="C65" s="45"/>
      <c r="F65" s="23"/>
      <c r="G65" s="45"/>
    </row>
    <row r="66" spans="2:31" ht="13.5" thickBot="1" x14ac:dyDescent="0.25">
      <c r="B66" s="23"/>
      <c r="C66" s="382" t="s">
        <v>111</v>
      </c>
      <c r="D66" s="383"/>
      <c r="E66" s="383"/>
      <c r="F66" s="383"/>
      <c r="G66" s="384"/>
      <c r="I66" s="382" t="s">
        <v>111</v>
      </c>
      <c r="J66" s="383"/>
      <c r="K66" s="383"/>
      <c r="L66" s="383"/>
      <c r="M66" s="384"/>
      <c r="O66" s="382" t="s">
        <v>111</v>
      </c>
      <c r="P66" s="383"/>
      <c r="Q66" s="383"/>
      <c r="R66" s="383"/>
      <c r="S66" s="384"/>
      <c r="U66" s="382" t="s">
        <v>111</v>
      </c>
      <c r="V66" s="383"/>
      <c r="W66" s="383"/>
      <c r="X66" s="383"/>
      <c r="Y66" s="384"/>
    </row>
    <row r="67" spans="2:31" ht="15" x14ac:dyDescent="0.25">
      <c r="B67" s="23"/>
      <c r="C67" s="365" t="s">
        <v>19</v>
      </c>
      <c r="D67" s="365"/>
      <c r="E67" s="365"/>
      <c r="F67" s="365"/>
      <c r="G67" s="365"/>
      <c r="I67" s="385" t="s">
        <v>20</v>
      </c>
      <c r="J67" s="385"/>
      <c r="K67" s="385"/>
      <c r="L67" s="385"/>
      <c r="M67" s="385"/>
      <c r="O67" s="365" t="s">
        <v>21</v>
      </c>
      <c r="P67" s="365"/>
      <c r="Q67" s="365"/>
      <c r="R67" s="365"/>
      <c r="S67" s="365"/>
      <c r="U67" s="365" t="s">
        <v>22</v>
      </c>
      <c r="V67" s="365"/>
      <c r="W67" s="365"/>
      <c r="X67" s="365"/>
      <c r="Y67" s="365"/>
    </row>
    <row r="68" spans="2:31" ht="13.5" thickBot="1" x14ac:dyDescent="0.25">
      <c r="B68" s="23"/>
      <c r="C68" s="22"/>
      <c r="D68" s="22"/>
      <c r="E68" s="22"/>
      <c r="F68" s="22"/>
      <c r="G68" s="45"/>
      <c r="I68" s="22"/>
      <c r="J68" s="22"/>
      <c r="K68" s="22"/>
      <c r="L68" s="22"/>
      <c r="M68" s="45"/>
      <c r="O68" s="22"/>
      <c r="P68" s="22"/>
      <c r="Q68" s="22"/>
      <c r="R68" s="22"/>
      <c r="S68" s="45"/>
    </row>
    <row r="69" spans="2:31" x14ac:dyDescent="0.2">
      <c r="B69" s="23"/>
      <c r="C69" s="386" t="s">
        <v>1</v>
      </c>
      <c r="D69" s="388" t="s">
        <v>0</v>
      </c>
      <c r="E69" s="388" t="s">
        <v>32</v>
      </c>
      <c r="F69" s="388" t="s">
        <v>33</v>
      </c>
      <c r="G69" s="390" t="s">
        <v>34</v>
      </c>
      <c r="I69" s="386" t="s">
        <v>1</v>
      </c>
      <c r="J69" s="388" t="s">
        <v>0</v>
      </c>
      <c r="K69" s="388" t="s">
        <v>32</v>
      </c>
      <c r="L69" s="388" t="s">
        <v>33</v>
      </c>
      <c r="M69" s="390" t="s">
        <v>34</v>
      </c>
      <c r="O69" s="386" t="s">
        <v>1</v>
      </c>
      <c r="P69" s="388" t="s">
        <v>0</v>
      </c>
      <c r="Q69" s="388" t="s">
        <v>32</v>
      </c>
      <c r="R69" s="388" t="s">
        <v>33</v>
      </c>
      <c r="S69" s="390" t="s">
        <v>34</v>
      </c>
      <c r="U69" s="405" t="s">
        <v>1</v>
      </c>
      <c r="V69" s="392" t="s">
        <v>0</v>
      </c>
      <c r="W69" s="392" t="s">
        <v>32</v>
      </c>
      <c r="X69" s="392" t="s">
        <v>33</v>
      </c>
      <c r="Y69" s="394" t="s">
        <v>34</v>
      </c>
    </row>
    <row r="70" spans="2:31" ht="13.5" thickBot="1" x14ac:dyDescent="0.25">
      <c r="B70" s="23"/>
      <c r="C70" s="387"/>
      <c r="D70" s="389"/>
      <c r="E70" s="389"/>
      <c r="F70" s="389"/>
      <c r="G70" s="391"/>
      <c r="I70" s="387"/>
      <c r="J70" s="389"/>
      <c r="K70" s="389"/>
      <c r="L70" s="389"/>
      <c r="M70" s="391"/>
      <c r="O70" s="387"/>
      <c r="P70" s="389"/>
      <c r="Q70" s="389"/>
      <c r="R70" s="389"/>
      <c r="S70" s="391"/>
      <c r="U70" s="406"/>
      <c r="V70" s="407"/>
      <c r="W70" s="407"/>
      <c r="X70" s="407"/>
      <c r="Y70" s="409"/>
    </row>
    <row r="71" spans="2:31" x14ac:dyDescent="0.2">
      <c r="B71" s="23"/>
      <c r="C71" s="7">
        <v>43101</v>
      </c>
      <c r="D71" s="8">
        <v>5</v>
      </c>
      <c r="E71" s="8">
        <v>30</v>
      </c>
      <c r="F71" s="51">
        <v>76.400000000000006</v>
      </c>
      <c r="G71" s="18">
        <f>+E71/D71</f>
        <v>6</v>
      </c>
      <c r="I71" s="7">
        <v>43101</v>
      </c>
      <c r="J71" s="8">
        <v>5</v>
      </c>
      <c r="K71" s="399"/>
      <c r="L71" s="51"/>
      <c r="M71" s="18"/>
      <c r="O71" s="7">
        <v>43101</v>
      </c>
      <c r="P71" s="8">
        <v>4</v>
      </c>
      <c r="Q71" s="412"/>
      <c r="R71" s="51">
        <v>12.16</v>
      </c>
      <c r="S71" s="18">
        <f>+Q71/P71</f>
        <v>0</v>
      </c>
      <c r="U71" s="7">
        <v>43101</v>
      </c>
      <c r="V71" s="59">
        <v>7</v>
      </c>
      <c r="W71" s="288">
        <v>15</v>
      </c>
      <c r="X71" s="68">
        <v>19.600000000000001</v>
      </c>
      <c r="Y71" s="287">
        <f t="shared" ref="Y71:Y79" si="26">W71/V71</f>
        <v>2.1428571428571428</v>
      </c>
      <c r="AA71" s="46"/>
      <c r="AB71" s="46"/>
      <c r="AC71" s="46"/>
      <c r="AD71" s="46"/>
      <c r="AE71" s="46"/>
    </row>
    <row r="72" spans="2:31" x14ac:dyDescent="0.2">
      <c r="B72" s="23"/>
      <c r="C72" s="7">
        <v>43132</v>
      </c>
      <c r="D72" s="4">
        <v>5</v>
      </c>
      <c r="E72" s="4">
        <v>30</v>
      </c>
      <c r="F72" s="48">
        <v>76.099999999999994</v>
      </c>
      <c r="G72" s="18">
        <f>+E72/D72</f>
        <v>6</v>
      </c>
      <c r="I72" s="7">
        <v>43132</v>
      </c>
      <c r="J72" s="4"/>
      <c r="K72" s="410"/>
      <c r="L72" s="48"/>
      <c r="M72" s="18"/>
      <c r="O72" s="7">
        <v>43132</v>
      </c>
      <c r="P72" s="4">
        <v>4</v>
      </c>
      <c r="Q72" s="413"/>
      <c r="R72" s="48">
        <v>9.8000000000000007</v>
      </c>
      <c r="S72" s="18">
        <f>+Q72/P72</f>
        <v>0</v>
      </c>
      <c r="U72" s="7">
        <v>43132</v>
      </c>
      <c r="V72" s="2">
        <v>7</v>
      </c>
      <c r="W72" s="288">
        <v>1</v>
      </c>
      <c r="X72" s="68">
        <v>11.7</v>
      </c>
      <c r="Y72" s="287">
        <f t="shared" si="26"/>
        <v>0.14285714285714285</v>
      </c>
      <c r="AA72" s="46"/>
      <c r="AB72" s="46"/>
      <c r="AC72" s="46"/>
      <c r="AD72" s="46"/>
      <c r="AE72" s="46"/>
    </row>
    <row r="73" spans="2:31" x14ac:dyDescent="0.2">
      <c r="B73" s="23"/>
      <c r="C73" s="7">
        <v>43160</v>
      </c>
      <c r="D73" s="4">
        <v>5</v>
      </c>
      <c r="E73" s="4">
        <v>30</v>
      </c>
      <c r="F73" s="48">
        <v>76.099999999999994</v>
      </c>
      <c r="G73" s="18">
        <f>+E73/D73</f>
        <v>6</v>
      </c>
      <c r="I73" s="7">
        <v>43160</v>
      </c>
      <c r="J73" s="4"/>
      <c r="K73" s="410"/>
      <c r="L73" s="48"/>
      <c r="M73" s="18"/>
      <c r="O73" s="7">
        <v>43160</v>
      </c>
      <c r="P73" s="4">
        <v>4</v>
      </c>
      <c r="Q73" s="413"/>
      <c r="R73" s="48">
        <v>8.9</v>
      </c>
      <c r="S73" s="18">
        <f>+Q73/P73</f>
        <v>0</v>
      </c>
      <c r="U73" s="7">
        <v>43160</v>
      </c>
      <c r="V73" s="4">
        <v>7</v>
      </c>
      <c r="W73" s="289">
        <v>16</v>
      </c>
      <c r="X73" s="200">
        <v>19.899999999999999</v>
      </c>
      <c r="Y73" s="174">
        <f t="shared" si="26"/>
        <v>2.2857142857142856</v>
      </c>
      <c r="AA73" s="46"/>
      <c r="AB73" s="46"/>
      <c r="AC73" s="46"/>
      <c r="AD73" s="46"/>
      <c r="AE73" s="46"/>
    </row>
    <row r="74" spans="2:31" x14ac:dyDescent="0.2">
      <c r="B74" s="23"/>
      <c r="C74" s="7">
        <v>43191</v>
      </c>
      <c r="D74" s="4">
        <v>5</v>
      </c>
      <c r="E74" s="4">
        <v>30</v>
      </c>
      <c r="F74" s="48">
        <v>76.099999999999994</v>
      </c>
      <c r="G74" s="18">
        <f t="shared" ref="G74:G76" si="27">+E74/D74</f>
        <v>6</v>
      </c>
      <c r="I74" s="7">
        <v>43191</v>
      </c>
      <c r="J74" s="4"/>
      <c r="K74" s="410"/>
      <c r="L74" s="48"/>
      <c r="M74" s="18"/>
      <c r="O74" s="7">
        <v>43191</v>
      </c>
      <c r="P74" s="4">
        <v>4</v>
      </c>
      <c r="Q74" s="413"/>
      <c r="R74" s="48">
        <v>8.9</v>
      </c>
      <c r="S74" s="18">
        <f t="shared" ref="S74" si="28">+Q74/P74</f>
        <v>0</v>
      </c>
      <c r="U74" s="7">
        <v>43191</v>
      </c>
      <c r="V74" s="4">
        <v>7</v>
      </c>
      <c r="W74" s="288">
        <v>7</v>
      </c>
      <c r="X74" s="68">
        <v>9.8000000000000007</v>
      </c>
      <c r="Y74" s="174">
        <f t="shared" si="26"/>
        <v>1</v>
      </c>
      <c r="AA74" s="46"/>
      <c r="AB74" s="46"/>
      <c r="AC74" s="46"/>
      <c r="AD74" s="46"/>
      <c r="AE74" s="46"/>
    </row>
    <row r="75" spans="2:31" x14ac:dyDescent="0.2">
      <c r="B75" s="23"/>
      <c r="C75" s="7">
        <v>43221</v>
      </c>
      <c r="D75" s="4">
        <v>5</v>
      </c>
      <c r="E75" s="4">
        <v>30</v>
      </c>
      <c r="F75" s="48">
        <v>76.099999999999994</v>
      </c>
      <c r="G75" s="18">
        <f t="shared" si="27"/>
        <v>6</v>
      </c>
      <c r="I75" s="7">
        <v>43221</v>
      </c>
      <c r="J75" s="4"/>
      <c r="K75" s="410"/>
      <c r="L75" s="48"/>
      <c r="M75" s="18"/>
      <c r="O75" s="7">
        <v>43221</v>
      </c>
      <c r="P75" s="4">
        <v>4</v>
      </c>
      <c r="Q75" s="413"/>
      <c r="R75" s="48">
        <v>8.9</v>
      </c>
      <c r="S75" s="18">
        <f>+Q75/P75</f>
        <v>0</v>
      </c>
      <c r="U75" s="7">
        <v>43221</v>
      </c>
      <c r="V75" s="2">
        <v>7</v>
      </c>
      <c r="W75" s="68">
        <v>8</v>
      </c>
      <c r="X75" s="68">
        <v>10.7</v>
      </c>
      <c r="Y75" s="174">
        <f t="shared" si="26"/>
        <v>1.1428571428571428</v>
      </c>
      <c r="AA75" s="46"/>
      <c r="AB75" s="46"/>
      <c r="AC75" s="46"/>
      <c r="AD75" s="46"/>
      <c r="AE75" s="46"/>
    </row>
    <row r="76" spans="2:31" x14ac:dyDescent="0.2">
      <c r="B76" s="23"/>
      <c r="C76" s="7">
        <v>43252</v>
      </c>
      <c r="D76" s="4">
        <v>5</v>
      </c>
      <c r="E76" s="4">
        <v>30</v>
      </c>
      <c r="F76" s="48">
        <v>76.099999999999994</v>
      </c>
      <c r="G76" s="18">
        <f t="shared" si="27"/>
        <v>6</v>
      </c>
      <c r="I76" s="7">
        <v>43252</v>
      </c>
      <c r="J76" s="4"/>
      <c r="K76" s="410"/>
      <c r="L76" s="50"/>
      <c r="M76" s="18"/>
      <c r="O76" s="7">
        <v>43252</v>
      </c>
      <c r="P76" s="4">
        <v>4</v>
      </c>
      <c r="Q76" s="413"/>
      <c r="R76" s="48">
        <v>8.9</v>
      </c>
      <c r="S76" s="18">
        <f>+Q76/P76</f>
        <v>0</v>
      </c>
      <c r="U76" s="7">
        <v>43252</v>
      </c>
      <c r="V76" s="2">
        <v>7</v>
      </c>
      <c r="W76" s="2">
        <v>8</v>
      </c>
      <c r="X76" s="2">
        <v>10.7</v>
      </c>
      <c r="Y76" s="68">
        <f t="shared" si="26"/>
        <v>1.1428571428571428</v>
      </c>
      <c r="AA76" s="46"/>
      <c r="AB76" s="46"/>
      <c r="AC76" s="46"/>
      <c r="AD76" s="46"/>
      <c r="AE76" s="46"/>
    </row>
    <row r="77" spans="2:31" x14ac:dyDescent="0.2">
      <c r="B77" s="23"/>
      <c r="C77" s="7">
        <v>43282</v>
      </c>
      <c r="D77" s="4">
        <v>5</v>
      </c>
      <c r="E77" s="4">
        <v>30</v>
      </c>
      <c r="F77" s="48">
        <v>76.099999999999994</v>
      </c>
      <c r="G77" s="18">
        <f t="shared" ref="G77:G79" si="29">+E77/D77</f>
        <v>6</v>
      </c>
      <c r="I77" s="7">
        <v>43282</v>
      </c>
      <c r="J77" s="4"/>
      <c r="K77" s="410"/>
      <c r="L77" s="50"/>
      <c r="M77" s="18"/>
      <c r="O77" s="7">
        <v>43282</v>
      </c>
      <c r="P77" s="4">
        <v>4</v>
      </c>
      <c r="Q77" s="413"/>
      <c r="R77" s="48">
        <v>9.9</v>
      </c>
      <c r="S77" s="18">
        <f t="shared" ref="S77:S78" si="30">+Q77/P77</f>
        <v>0</v>
      </c>
      <c r="U77" s="7">
        <v>43282</v>
      </c>
      <c r="V77" s="4">
        <v>7</v>
      </c>
      <c r="W77" s="68">
        <v>10</v>
      </c>
      <c r="X77" s="290">
        <v>13.4</v>
      </c>
      <c r="Y77" s="68">
        <f t="shared" si="26"/>
        <v>1.4285714285714286</v>
      </c>
      <c r="AA77" s="46"/>
      <c r="AB77" s="46"/>
      <c r="AC77" s="46"/>
      <c r="AD77" s="46"/>
      <c r="AE77" s="46"/>
    </row>
    <row r="78" spans="2:31" x14ac:dyDescent="0.2">
      <c r="B78" s="23"/>
      <c r="C78" s="7">
        <v>43313</v>
      </c>
      <c r="D78" s="4">
        <v>5</v>
      </c>
      <c r="E78" s="4">
        <v>30</v>
      </c>
      <c r="F78" s="48">
        <v>76.099999999999994</v>
      </c>
      <c r="G78" s="18">
        <f t="shared" si="29"/>
        <v>6</v>
      </c>
      <c r="I78" s="7">
        <v>43313</v>
      </c>
      <c r="J78" s="11"/>
      <c r="K78" s="410"/>
      <c r="L78" s="9"/>
      <c r="M78" s="18"/>
      <c r="O78" s="7">
        <v>43313</v>
      </c>
      <c r="P78" s="4">
        <v>4</v>
      </c>
      <c r="Q78" s="413"/>
      <c r="R78" s="48">
        <v>10.9</v>
      </c>
      <c r="S78" s="18">
        <f t="shared" si="30"/>
        <v>0</v>
      </c>
      <c r="U78" s="7">
        <v>43313</v>
      </c>
      <c r="V78" s="4">
        <v>7</v>
      </c>
      <c r="W78" s="68">
        <v>7</v>
      </c>
      <c r="X78" s="196">
        <v>9.8000000000000007</v>
      </c>
      <c r="Y78" s="2">
        <f t="shared" si="26"/>
        <v>1</v>
      </c>
      <c r="AA78" s="46"/>
      <c r="AB78" s="46"/>
      <c r="AC78" s="46"/>
      <c r="AD78" s="46"/>
      <c r="AE78" s="46"/>
    </row>
    <row r="79" spans="2:31" x14ac:dyDescent="0.2">
      <c r="B79" s="23"/>
      <c r="C79" s="7">
        <v>43344</v>
      </c>
      <c r="D79" s="4">
        <v>5</v>
      </c>
      <c r="E79" s="4">
        <v>30</v>
      </c>
      <c r="F79" s="48">
        <v>76.099999999999994</v>
      </c>
      <c r="G79" s="18">
        <f t="shared" si="29"/>
        <v>6</v>
      </c>
      <c r="I79" s="7">
        <v>43344</v>
      </c>
      <c r="J79" s="4"/>
      <c r="K79" s="410"/>
      <c r="L79" s="9"/>
      <c r="M79" s="18"/>
      <c r="O79" s="7">
        <v>43344</v>
      </c>
      <c r="P79" s="4">
        <v>4</v>
      </c>
      <c r="Q79" s="413"/>
      <c r="R79" s="48">
        <v>11.9</v>
      </c>
      <c r="S79" s="18">
        <f t="shared" ref="S79:S82" si="31">+Q79/P79</f>
        <v>0</v>
      </c>
      <c r="U79" s="7">
        <v>43344</v>
      </c>
      <c r="V79" s="2">
        <v>7</v>
      </c>
      <c r="W79" s="196">
        <v>10</v>
      </c>
      <c r="X79" s="196">
        <v>13.4</v>
      </c>
      <c r="Y79" s="68">
        <f t="shared" si="26"/>
        <v>1.4285714285714286</v>
      </c>
      <c r="AA79" s="46"/>
      <c r="AB79" s="46"/>
      <c r="AC79" s="46"/>
      <c r="AD79" s="46"/>
      <c r="AE79" s="46"/>
    </row>
    <row r="80" spans="2:31" x14ac:dyDescent="0.2">
      <c r="B80" s="23"/>
      <c r="C80" s="7">
        <v>43374</v>
      </c>
      <c r="D80" s="4">
        <v>5</v>
      </c>
      <c r="E80" s="4">
        <v>30</v>
      </c>
      <c r="F80" s="48">
        <v>76.099999999999994</v>
      </c>
      <c r="G80" s="18">
        <f t="shared" ref="G80:G82" si="32">+E80/D80</f>
        <v>6</v>
      </c>
      <c r="I80" s="7">
        <v>43374</v>
      </c>
      <c r="J80" s="4"/>
      <c r="K80" s="410"/>
      <c r="L80" s="9"/>
      <c r="M80" s="18"/>
      <c r="O80" s="7">
        <v>43374</v>
      </c>
      <c r="P80" s="4">
        <v>4</v>
      </c>
      <c r="Q80" s="413"/>
      <c r="R80" s="48">
        <v>11.9</v>
      </c>
      <c r="S80" s="18">
        <f t="shared" si="31"/>
        <v>0</v>
      </c>
      <c r="U80" s="7">
        <v>43374</v>
      </c>
      <c r="V80" s="2">
        <v>7</v>
      </c>
      <c r="W80" s="196">
        <v>10</v>
      </c>
      <c r="X80" s="196">
        <v>13.4</v>
      </c>
      <c r="Y80" s="68">
        <f t="shared" ref="Y80:Y81" si="33">W80/V80</f>
        <v>1.4285714285714286</v>
      </c>
      <c r="AA80" s="46"/>
      <c r="AB80" s="46"/>
      <c r="AC80" s="46"/>
      <c r="AD80" s="46"/>
      <c r="AE80" s="46"/>
    </row>
    <row r="81" spans="2:31" x14ac:dyDescent="0.2">
      <c r="B81" s="23"/>
      <c r="C81" s="7">
        <v>43405</v>
      </c>
      <c r="D81" s="4">
        <v>5</v>
      </c>
      <c r="E81" s="4">
        <v>30</v>
      </c>
      <c r="F81" s="48">
        <v>76.099999999999994</v>
      </c>
      <c r="G81" s="18">
        <f t="shared" si="32"/>
        <v>6</v>
      </c>
      <c r="I81" s="7">
        <v>43405</v>
      </c>
      <c r="J81" s="4"/>
      <c r="K81" s="410"/>
      <c r="L81" s="9"/>
      <c r="M81" s="18"/>
      <c r="O81" s="7">
        <v>43405</v>
      </c>
      <c r="P81" s="4">
        <v>4</v>
      </c>
      <c r="Q81" s="413"/>
      <c r="R81" s="48">
        <v>11.9</v>
      </c>
      <c r="S81" s="18">
        <f t="shared" si="31"/>
        <v>0</v>
      </c>
      <c r="U81" s="7">
        <v>43405</v>
      </c>
      <c r="V81" s="2">
        <v>7</v>
      </c>
      <c r="W81" s="196">
        <v>10</v>
      </c>
      <c r="X81" s="196">
        <v>13.4</v>
      </c>
      <c r="Y81" s="68">
        <f t="shared" si="33"/>
        <v>1.4285714285714286</v>
      </c>
      <c r="AA81" s="46"/>
      <c r="AB81" s="46"/>
      <c r="AC81" s="46"/>
      <c r="AD81" s="46"/>
      <c r="AE81" s="46"/>
    </row>
    <row r="82" spans="2:31" ht="13.5" thickBot="1" x14ac:dyDescent="0.25">
      <c r="B82" s="23"/>
      <c r="C82" s="7">
        <v>43435</v>
      </c>
      <c r="D82" s="4">
        <v>5</v>
      </c>
      <c r="E82" s="4">
        <v>30</v>
      </c>
      <c r="F82" s="48">
        <v>76.099999999999994</v>
      </c>
      <c r="G82" s="18">
        <f t="shared" si="32"/>
        <v>6</v>
      </c>
      <c r="I82" s="7">
        <v>43435</v>
      </c>
      <c r="J82" s="14"/>
      <c r="K82" s="411"/>
      <c r="L82" s="13"/>
      <c r="M82" s="18"/>
      <c r="O82" s="7">
        <v>43435</v>
      </c>
      <c r="P82" s="14">
        <v>4</v>
      </c>
      <c r="Q82" s="414"/>
      <c r="R82" s="48">
        <v>11.9</v>
      </c>
      <c r="S82" s="18">
        <f t="shared" si="31"/>
        <v>0</v>
      </c>
      <c r="U82" s="7">
        <v>43435</v>
      </c>
      <c r="V82" s="379" t="s">
        <v>121</v>
      </c>
      <c r="W82" s="380"/>
      <c r="X82" s="380"/>
      <c r="Y82" s="381"/>
      <c r="AA82" s="46"/>
      <c r="AB82" s="46"/>
      <c r="AC82" s="46"/>
      <c r="AD82" s="46"/>
      <c r="AE82" s="46"/>
    </row>
    <row r="83" spans="2:31" ht="13.5" thickBot="1" x14ac:dyDescent="0.25">
      <c r="B83" s="23"/>
      <c r="C83" s="25" t="s">
        <v>2</v>
      </c>
      <c r="D83" s="26">
        <f>AVERAGE(D71:D82)</f>
        <v>5</v>
      </c>
      <c r="E83" s="26">
        <f>AVERAGE(E71:E82)</f>
        <v>30</v>
      </c>
      <c r="F83" s="26">
        <f>AVERAGE(F71:F82)</f>
        <v>76.125000000000014</v>
      </c>
      <c r="G83" s="26">
        <f>AVERAGE(G71:G82)</f>
        <v>6</v>
      </c>
      <c r="I83" s="25" t="s">
        <v>2</v>
      </c>
      <c r="J83" s="26"/>
      <c r="K83" s="26"/>
      <c r="L83" s="26"/>
      <c r="M83" s="26"/>
      <c r="O83" s="220" t="s">
        <v>2</v>
      </c>
      <c r="P83" s="26">
        <f>AVERAGE(P71:P82)</f>
        <v>4</v>
      </c>
      <c r="Q83" s="26"/>
      <c r="R83" s="26">
        <f>AVERAGE(R71:R82)</f>
        <v>10.496666666666668</v>
      </c>
      <c r="S83" s="26">
        <f>AVERAGE(S71:S82)</f>
        <v>0</v>
      </c>
      <c r="U83" s="220" t="s">
        <v>2</v>
      </c>
      <c r="V83" s="5">
        <f>AVERAGE(V71:V82)</f>
        <v>7</v>
      </c>
      <c r="W83" s="5">
        <f>AVERAGE(W71:W82)</f>
        <v>9.2727272727272734</v>
      </c>
      <c r="X83" s="5">
        <f>AVERAGE(X71:X82)</f>
        <v>13.254545454545456</v>
      </c>
      <c r="Y83" s="194">
        <f>AVERAGE(Y71:Y82)</f>
        <v>1.3246753246753247</v>
      </c>
    </row>
    <row r="84" spans="2:31" x14ac:dyDescent="0.2">
      <c r="B84" s="23"/>
      <c r="C84" s="408"/>
      <c r="D84" s="408"/>
      <c r="E84" s="408"/>
      <c r="F84" s="408"/>
      <c r="G84" s="408"/>
      <c r="H84" s="34"/>
      <c r="I84" s="34" t="s">
        <v>40</v>
      </c>
      <c r="J84" s="34"/>
      <c r="K84" s="34"/>
      <c r="L84" s="34"/>
      <c r="M84" s="34"/>
      <c r="O84" s="34" t="s">
        <v>108</v>
      </c>
    </row>
    <row r="85" spans="2:31" ht="13.5" thickBot="1" x14ac:dyDescent="0.25">
      <c r="B85" s="23"/>
      <c r="C85" s="45"/>
      <c r="F85" s="23"/>
      <c r="G85" s="45"/>
    </row>
    <row r="86" spans="2:31" ht="13.5" thickBot="1" x14ac:dyDescent="0.25">
      <c r="B86" s="23"/>
      <c r="C86" s="382" t="s">
        <v>111</v>
      </c>
      <c r="D86" s="383"/>
      <c r="E86" s="383"/>
      <c r="F86" s="383"/>
      <c r="G86" s="384"/>
      <c r="I86" s="382" t="s">
        <v>111</v>
      </c>
      <c r="J86" s="383"/>
      <c r="K86" s="383"/>
      <c r="L86" s="383"/>
      <c r="M86" s="384"/>
      <c r="O86" s="382" t="s">
        <v>111</v>
      </c>
      <c r="P86" s="383"/>
      <c r="Q86" s="383"/>
      <c r="R86" s="383"/>
      <c r="S86" s="384"/>
      <c r="U86" s="382" t="s">
        <v>111</v>
      </c>
      <c r="V86" s="383"/>
      <c r="W86" s="383"/>
      <c r="X86" s="383"/>
      <c r="Y86" s="384"/>
    </row>
    <row r="87" spans="2:31" x14ac:dyDescent="0.2">
      <c r="B87" s="23"/>
      <c r="C87" s="385" t="s">
        <v>23</v>
      </c>
      <c r="D87" s="385"/>
      <c r="E87" s="385"/>
      <c r="F87" s="385"/>
      <c r="G87" s="385"/>
      <c r="I87" s="385" t="s">
        <v>24</v>
      </c>
      <c r="J87" s="385"/>
      <c r="K87" s="385"/>
      <c r="L87" s="385"/>
      <c r="M87" s="385"/>
      <c r="O87" s="385" t="s">
        <v>25</v>
      </c>
      <c r="P87" s="385"/>
      <c r="Q87" s="385"/>
      <c r="R87" s="385"/>
      <c r="S87" s="385"/>
      <c r="U87" s="385" t="s">
        <v>26</v>
      </c>
      <c r="V87" s="385"/>
      <c r="W87" s="385"/>
      <c r="X87" s="385"/>
      <c r="Y87" s="385"/>
    </row>
    <row r="88" spans="2:31" ht="13.5" thickBot="1" x14ac:dyDescent="0.25">
      <c r="B88" s="23"/>
      <c r="C88" s="22"/>
      <c r="D88" s="22"/>
      <c r="E88" s="22"/>
      <c r="F88" s="22"/>
      <c r="G88" s="45"/>
      <c r="I88" s="22"/>
      <c r="J88" s="22"/>
      <c r="K88" s="22"/>
      <c r="L88" s="22"/>
      <c r="M88" s="45"/>
      <c r="O88" s="22"/>
      <c r="P88" s="22"/>
      <c r="Q88" s="22"/>
      <c r="R88" s="22"/>
      <c r="S88" s="45"/>
      <c r="U88" s="22"/>
      <c r="V88" s="22"/>
      <c r="W88" s="22"/>
      <c r="X88" s="22">
        <v>8</v>
      </c>
      <c r="Y88" s="45"/>
    </row>
    <row r="89" spans="2:31" x14ac:dyDescent="0.2">
      <c r="B89" s="23"/>
      <c r="C89" s="386" t="s">
        <v>1</v>
      </c>
      <c r="D89" s="388" t="s">
        <v>0</v>
      </c>
      <c r="E89" s="388" t="s">
        <v>32</v>
      </c>
      <c r="F89" s="388" t="s">
        <v>33</v>
      </c>
      <c r="G89" s="390" t="s">
        <v>34</v>
      </c>
      <c r="I89" s="386" t="s">
        <v>1</v>
      </c>
      <c r="J89" s="388" t="s">
        <v>0</v>
      </c>
      <c r="K89" s="388" t="s">
        <v>32</v>
      </c>
      <c r="L89" s="388" t="s">
        <v>33</v>
      </c>
      <c r="M89" s="390" t="s">
        <v>34</v>
      </c>
      <c r="O89" s="386" t="s">
        <v>1</v>
      </c>
      <c r="P89" s="388" t="s">
        <v>0</v>
      </c>
      <c r="Q89" s="388" t="s">
        <v>32</v>
      </c>
      <c r="R89" s="388" t="s">
        <v>33</v>
      </c>
      <c r="S89" s="390" t="s">
        <v>34</v>
      </c>
      <c r="U89" s="405" t="s">
        <v>1</v>
      </c>
      <c r="V89" s="392" t="s">
        <v>0</v>
      </c>
      <c r="W89" s="392" t="s">
        <v>37</v>
      </c>
      <c r="X89" s="392" t="s">
        <v>33</v>
      </c>
      <c r="Y89" s="394" t="s">
        <v>34</v>
      </c>
    </row>
    <row r="90" spans="2:31" ht="13.5" thickBot="1" x14ac:dyDescent="0.25">
      <c r="B90" s="23"/>
      <c r="C90" s="387"/>
      <c r="D90" s="389"/>
      <c r="E90" s="389"/>
      <c r="F90" s="389"/>
      <c r="G90" s="391"/>
      <c r="I90" s="387"/>
      <c r="J90" s="389"/>
      <c r="K90" s="389"/>
      <c r="L90" s="389"/>
      <c r="M90" s="391"/>
      <c r="O90" s="387"/>
      <c r="P90" s="389"/>
      <c r="Q90" s="389"/>
      <c r="R90" s="389"/>
      <c r="S90" s="391"/>
      <c r="U90" s="406"/>
      <c r="V90" s="407"/>
      <c r="W90" s="393"/>
      <c r="X90" s="393"/>
      <c r="Y90" s="395"/>
    </row>
    <row r="91" spans="2:31" x14ac:dyDescent="0.2">
      <c r="B91" s="23"/>
      <c r="C91" s="7">
        <v>43101</v>
      </c>
      <c r="D91" s="8">
        <v>4</v>
      </c>
      <c r="E91" s="396"/>
      <c r="F91" s="51"/>
      <c r="G91" s="18"/>
      <c r="I91" s="7">
        <v>43101</v>
      </c>
      <c r="J91" s="8">
        <v>4</v>
      </c>
      <c r="K91" s="399"/>
      <c r="L91" s="51"/>
      <c r="M91" s="18"/>
      <c r="O91" s="7">
        <v>43101</v>
      </c>
      <c r="P91" s="8">
        <v>5</v>
      </c>
      <c r="Q91" s="402"/>
      <c r="R91" s="51">
        <v>50</v>
      </c>
      <c r="S91" s="18"/>
      <c r="U91" s="7">
        <v>43101</v>
      </c>
      <c r="V91" s="59">
        <v>3</v>
      </c>
      <c r="W91" s="68">
        <v>15</v>
      </c>
      <c r="X91" s="68">
        <v>15</v>
      </c>
      <c r="Y91" s="213">
        <f>+W91/V91</f>
        <v>5</v>
      </c>
    </row>
    <row r="92" spans="2:31" x14ac:dyDescent="0.2">
      <c r="B92" s="23"/>
      <c r="C92" s="7">
        <v>43132</v>
      </c>
      <c r="D92" s="4"/>
      <c r="E92" s="397"/>
      <c r="F92" s="51"/>
      <c r="G92" s="18"/>
      <c r="I92" s="7">
        <v>43132</v>
      </c>
      <c r="J92" s="4"/>
      <c r="K92" s="400"/>
      <c r="L92" s="48"/>
      <c r="M92" s="18"/>
      <c r="O92" s="7">
        <v>43132</v>
      </c>
      <c r="P92" s="4">
        <v>5</v>
      </c>
      <c r="Q92" s="403"/>
      <c r="R92" s="48">
        <v>50</v>
      </c>
      <c r="S92" s="18"/>
      <c r="U92" s="7">
        <v>43132</v>
      </c>
      <c r="V92" s="2">
        <v>3</v>
      </c>
      <c r="W92" s="68">
        <v>22</v>
      </c>
      <c r="X92" s="68">
        <v>22</v>
      </c>
      <c r="Y92" s="213">
        <f>+W92/V92</f>
        <v>7.333333333333333</v>
      </c>
    </row>
    <row r="93" spans="2:31" ht="15" customHeight="1" x14ac:dyDescent="0.2">
      <c r="B93" s="23"/>
      <c r="C93" s="7">
        <v>43160</v>
      </c>
      <c r="D93" s="4"/>
      <c r="E93" s="397"/>
      <c r="F93" s="51"/>
      <c r="G93" s="18"/>
      <c r="I93" s="7">
        <v>43160</v>
      </c>
      <c r="J93" s="4"/>
      <c r="K93" s="400"/>
      <c r="L93" s="48"/>
      <c r="M93" s="18"/>
      <c r="O93" s="7">
        <v>43160</v>
      </c>
      <c r="P93" s="4">
        <v>5</v>
      </c>
      <c r="Q93" s="403"/>
      <c r="R93" s="48">
        <v>50</v>
      </c>
      <c r="S93" s="18"/>
      <c r="U93" s="7">
        <v>43160</v>
      </c>
      <c r="V93" s="4">
        <v>3</v>
      </c>
      <c r="W93" s="227">
        <v>13</v>
      </c>
      <c r="X93" s="227">
        <v>16.5</v>
      </c>
      <c r="Y93" s="227">
        <f>+W93/V93</f>
        <v>4.333333333333333</v>
      </c>
    </row>
    <row r="94" spans="2:31" x14ac:dyDescent="0.2">
      <c r="B94" s="23"/>
      <c r="C94" s="7">
        <v>43191</v>
      </c>
      <c r="D94" s="4"/>
      <c r="E94" s="397"/>
      <c r="F94" s="51"/>
      <c r="G94" s="18"/>
      <c r="I94" s="7">
        <v>43191</v>
      </c>
      <c r="J94" s="4"/>
      <c r="K94" s="400"/>
      <c r="L94" s="51"/>
      <c r="M94" s="18"/>
      <c r="O94" s="7">
        <v>43191</v>
      </c>
      <c r="P94" s="4">
        <v>5</v>
      </c>
      <c r="Q94" s="403"/>
      <c r="R94" s="48">
        <v>50</v>
      </c>
      <c r="S94" s="18"/>
      <c r="U94" s="7">
        <v>43191</v>
      </c>
      <c r="V94" s="2">
        <v>3</v>
      </c>
      <c r="W94" s="68">
        <f>0.5*26</f>
        <v>13</v>
      </c>
      <c r="X94" s="68">
        <v>16.5</v>
      </c>
      <c r="Y94" s="227">
        <f t="shared" ref="Y94:Y96" si="34">+W94/V94</f>
        <v>4.333333333333333</v>
      </c>
    </row>
    <row r="95" spans="2:31" x14ac:dyDescent="0.2">
      <c r="B95" s="23"/>
      <c r="C95" s="7">
        <v>43221</v>
      </c>
      <c r="D95" s="4"/>
      <c r="E95" s="397"/>
      <c r="F95" s="51"/>
      <c r="G95" s="18"/>
      <c r="I95" s="7">
        <v>43221</v>
      </c>
      <c r="J95" s="4"/>
      <c r="K95" s="400"/>
      <c r="L95" s="48"/>
      <c r="M95" s="18"/>
      <c r="O95" s="7">
        <v>43221</v>
      </c>
      <c r="P95" s="4">
        <v>5</v>
      </c>
      <c r="Q95" s="403"/>
      <c r="R95" s="48">
        <v>50</v>
      </c>
      <c r="S95" s="18"/>
      <c r="U95" s="7">
        <v>43221</v>
      </c>
      <c r="V95" s="2">
        <v>3</v>
      </c>
      <c r="W95" s="68">
        <f t="shared" ref="W95:W100" si="35">0.5*26</f>
        <v>13</v>
      </c>
      <c r="X95" s="68">
        <v>16.5</v>
      </c>
      <c r="Y95" s="227">
        <f t="shared" si="34"/>
        <v>4.333333333333333</v>
      </c>
    </row>
    <row r="96" spans="2:31" x14ac:dyDescent="0.2">
      <c r="B96" s="23"/>
      <c r="C96" s="7">
        <v>43252</v>
      </c>
      <c r="D96" s="4"/>
      <c r="E96" s="397"/>
      <c r="F96" s="51"/>
      <c r="G96" s="18"/>
      <c r="I96" s="7">
        <v>43252</v>
      </c>
      <c r="J96" s="4"/>
      <c r="K96" s="400"/>
      <c r="L96" s="48"/>
      <c r="M96" s="18"/>
      <c r="O96" s="7">
        <v>43252</v>
      </c>
      <c r="P96" s="4">
        <v>5</v>
      </c>
      <c r="Q96" s="403"/>
      <c r="R96" s="48">
        <v>50</v>
      </c>
      <c r="S96" s="18"/>
      <c r="U96" s="7">
        <v>43252</v>
      </c>
      <c r="V96" s="2">
        <v>3</v>
      </c>
      <c r="W96" s="68">
        <f t="shared" si="35"/>
        <v>13</v>
      </c>
      <c r="X96" s="68">
        <v>16.5</v>
      </c>
      <c r="Y96" s="227">
        <f t="shared" si="34"/>
        <v>4.333333333333333</v>
      </c>
      <c r="Z96" s="24"/>
    </row>
    <row r="97" spans="2:26" x14ac:dyDescent="0.2">
      <c r="B97" s="23"/>
      <c r="C97" s="7">
        <v>43282</v>
      </c>
      <c r="D97" s="4"/>
      <c r="E97" s="397"/>
      <c r="F97" s="51"/>
      <c r="G97" s="18"/>
      <c r="I97" s="7">
        <v>43282</v>
      </c>
      <c r="J97" s="4"/>
      <c r="K97" s="400"/>
      <c r="L97" s="48"/>
      <c r="M97" s="18"/>
      <c r="O97" s="7">
        <v>43282</v>
      </c>
      <c r="P97" s="4">
        <v>5</v>
      </c>
      <c r="Q97" s="403"/>
      <c r="R97" s="48">
        <v>50</v>
      </c>
      <c r="S97" s="18"/>
      <c r="U97" s="7">
        <v>43282</v>
      </c>
      <c r="V97" s="2">
        <v>4</v>
      </c>
      <c r="W97" s="68">
        <f t="shared" si="35"/>
        <v>13</v>
      </c>
      <c r="X97" s="68">
        <v>17.5</v>
      </c>
      <c r="Y97" s="227">
        <f t="shared" ref="Y97:Y99" si="36">+W97/V97</f>
        <v>3.25</v>
      </c>
    </row>
    <row r="98" spans="2:26" x14ac:dyDescent="0.2">
      <c r="B98" s="23"/>
      <c r="C98" s="7">
        <v>43313</v>
      </c>
      <c r="D98" s="11"/>
      <c r="E98" s="397"/>
      <c r="F98" s="51"/>
      <c r="G98" s="18"/>
      <c r="I98" s="7">
        <v>43313</v>
      </c>
      <c r="J98" s="11"/>
      <c r="K98" s="400"/>
      <c r="L98" s="48"/>
      <c r="M98" s="18"/>
      <c r="O98" s="7">
        <v>43313</v>
      </c>
      <c r="P98" s="11">
        <v>5</v>
      </c>
      <c r="Q98" s="403"/>
      <c r="R98" s="48">
        <v>50</v>
      </c>
      <c r="S98" s="18"/>
      <c r="U98" s="7">
        <v>43313</v>
      </c>
      <c r="V98" s="2">
        <v>5</v>
      </c>
      <c r="W98" s="68">
        <f t="shared" si="35"/>
        <v>13</v>
      </c>
      <c r="X98" s="68">
        <v>18.5</v>
      </c>
      <c r="Y98" s="227">
        <f t="shared" si="36"/>
        <v>2.6</v>
      </c>
    </row>
    <row r="99" spans="2:26" x14ac:dyDescent="0.2">
      <c r="B99" s="23"/>
      <c r="C99" s="7">
        <v>43344</v>
      </c>
      <c r="D99" s="4"/>
      <c r="E99" s="397"/>
      <c r="F99" s="51"/>
      <c r="G99" s="18"/>
      <c r="I99" s="7">
        <v>43344</v>
      </c>
      <c r="J99" s="4"/>
      <c r="K99" s="400"/>
      <c r="L99" s="48"/>
      <c r="M99" s="18"/>
      <c r="O99" s="7">
        <v>43344</v>
      </c>
      <c r="P99" s="4">
        <v>5</v>
      </c>
      <c r="Q99" s="403"/>
      <c r="R99" s="48">
        <v>50</v>
      </c>
      <c r="S99" s="18"/>
      <c r="U99" s="7">
        <v>43344</v>
      </c>
      <c r="V99" s="2">
        <v>6</v>
      </c>
      <c r="W99" s="68">
        <f t="shared" si="35"/>
        <v>13</v>
      </c>
      <c r="X99" s="68">
        <v>19.5</v>
      </c>
      <c r="Y99" s="227">
        <f t="shared" si="36"/>
        <v>2.1666666666666665</v>
      </c>
      <c r="Z99" s="24"/>
    </row>
    <row r="100" spans="2:26" x14ac:dyDescent="0.2">
      <c r="B100" s="23"/>
      <c r="C100" s="7">
        <v>43374</v>
      </c>
      <c r="D100" s="4"/>
      <c r="E100" s="397"/>
      <c r="F100" s="51"/>
      <c r="G100" s="18"/>
      <c r="I100" s="7">
        <v>43374</v>
      </c>
      <c r="J100" s="4"/>
      <c r="K100" s="400"/>
      <c r="L100" s="48"/>
      <c r="M100" s="18"/>
      <c r="O100" s="7">
        <v>43374</v>
      </c>
      <c r="P100" s="4">
        <v>5</v>
      </c>
      <c r="Q100" s="403"/>
      <c r="R100" s="51">
        <v>50</v>
      </c>
      <c r="S100" s="18"/>
      <c r="U100" s="7">
        <v>43374</v>
      </c>
      <c r="V100" s="2">
        <v>6</v>
      </c>
      <c r="W100" s="68">
        <f t="shared" si="35"/>
        <v>13</v>
      </c>
      <c r="X100" s="68">
        <v>19.5</v>
      </c>
      <c r="Y100" s="227">
        <f t="shared" ref="Y100:Y101" si="37">+W100/V100</f>
        <v>2.1666666666666665</v>
      </c>
    </row>
    <row r="101" spans="2:26" x14ac:dyDescent="0.2">
      <c r="B101" s="23"/>
      <c r="C101" s="7">
        <v>43405</v>
      </c>
      <c r="D101" s="4"/>
      <c r="E101" s="397"/>
      <c r="F101" s="51"/>
      <c r="G101" s="18"/>
      <c r="I101" s="7">
        <v>43405</v>
      </c>
      <c r="J101" s="4"/>
      <c r="K101" s="400"/>
      <c r="L101" s="48"/>
      <c r="M101" s="18"/>
      <c r="O101" s="7">
        <v>43405</v>
      </c>
      <c r="P101" s="4">
        <v>5</v>
      </c>
      <c r="Q101" s="403"/>
      <c r="R101" s="48">
        <v>50</v>
      </c>
      <c r="S101" s="18"/>
      <c r="U101" s="7">
        <v>43405</v>
      </c>
      <c r="V101" s="2">
        <v>6</v>
      </c>
      <c r="W101" s="68">
        <v>4</v>
      </c>
      <c r="X101" s="196">
        <v>6.8</v>
      </c>
      <c r="Y101" s="227">
        <f t="shared" si="37"/>
        <v>0.66666666666666663</v>
      </c>
    </row>
    <row r="102" spans="2:26" ht="13.5" thickBot="1" x14ac:dyDescent="0.25">
      <c r="B102" s="23"/>
      <c r="C102" s="7">
        <v>43435</v>
      </c>
      <c r="D102" s="14"/>
      <c r="E102" s="398"/>
      <c r="F102" s="51"/>
      <c r="G102" s="18"/>
      <c r="I102" s="7">
        <v>43435</v>
      </c>
      <c r="J102" s="14"/>
      <c r="K102" s="401"/>
      <c r="L102" s="48"/>
      <c r="M102" s="18"/>
      <c r="O102" s="7">
        <v>43435</v>
      </c>
      <c r="P102" s="14">
        <v>5</v>
      </c>
      <c r="Q102" s="404"/>
      <c r="R102" s="48">
        <v>50</v>
      </c>
      <c r="S102" s="18"/>
      <c r="U102" s="7">
        <v>43435</v>
      </c>
      <c r="V102" s="354" t="s">
        <v>117</v>
      </c>
      <c r="W102" s="355"/>
      <c r="X102" s="355"/>
      <c r="Y102" s="356"/>
    </row>
    <row r="103" spans="2:26" ht="13.5" thickBot="1" x14ac:dyDescent="0.25">
      <c r="B103" s="23"/>
      <c r="C103" s="25" t="s">
        <v>2</v>
      </c>
      <c r="D103" s="26">
        <f>AVERAGE(D91:D102)</f>
        <v>4</v>
      </c>
      <c r="E103" s="26"/>
      <c r="F103" s="26">
        <v>0</v>
      </c>
      <c r="G103" s="26">
        <v>0</v>
      </c>
      <c r="I103" s="25" t="s">
        <v>2</v>
      </c>
      <c r="J103" s="26"/>
      <c r="K103" s="26"/>
      <c r="L103" s="26"/>
      <c r="M103" s="26"/>
      <c r="O103" s="25" t="s">
        <v>2</v>
      </c>
      <c r="P103" s="26">
        <f>AVERAGE(P91:P102)</f>
        <v>5</v>
      </c>
      <c r="Q103" s="26"/>
      <c r="R103" s="67">
        <f>AVERAGE(R91:R102)</f>
        <v>50</v>
      </c>
      <c r="S103" s="67">
        <f>SUM(S91:S102)</f>
        <v>0</v>
      </c>
      <c r="U103" s="25" t="s">
        <v>2</v>
      </c>
      <c r="V103" s="202">
        <f>AVERAGE(V91:V102)</f>
        <v>4.0909090909090908</v>
      </c>
      <c r="W103" s="202">
        <f>AVERAGE(W91:W102)</f>
        <v>13.181818181818182</v>
      </c>
      <c r="X103" s="202">
        <f>AVERAGE(X91:X102)</f>
        <v>16.8</v>
      </c>
      <c r="Y103" s="202">
        <f>AVERAGE(Y91:Y102)</f>
        <v>3.6833333333333318</v>
      </c>
    </row>
    <row r="104" spans="2:26" x14ac:dyDescent="0.2">
      <c r="B104" s="23"/>
      <c r="C104" s="34" t="s">
        <v>98</v>
      </c>
      <c r="F104" s="23"/>
      <c r="G104" s="45"/>
      <c r="I104" s="34" t="s">
        <v>41</v>
      </c>
      <c r="O104" s="34" t="s">
        <v>36</v>
      </c>
      <c r="U104" s="34" t="s">
        <v>42</v>
      </c>
    </row>
    <row r="105" spans="2:26" ht="13.5" thickBot="1" x14ac:dyDescent="0.25">
      <c r="B105" s="23"/>
      <c r="C105" s="45"/>
      <c r="F105" s="23"/>
      <c r="G105" s="45"/>
    </row>
    <row r="106" spans="2:26" ht="13.5" thickBot="1" x14ac:dyDescent="0.25">
      <c r="B106" s="23"/>
      <c r="C106" s="382" t="s">
        <v>111</v>
      </c>
      <c r="D106" s="383"/>
      <c r="E106" s="383"/>
      <c r="F106" s="383"/>
      <c r="G106" s="384"/>
      <c r="I106" s="382" t="s">
        <v>111</v>
      </c>
      <c r="J106" s="383"/>
      <c r="K106" s="383"/>
      <c r="L106" s="383"/>
      <c r="M106" s="384"/>
      <c r="N106" s="32"/>
      <c r="O106" s="382" t="s">
        <v>111</v>
      </c>
      <c r="P106" s="383"/>
      <c r="Q106" s="383"/>
      <c r="R106" s="383"/>
      <c r="S106" s="384"/>
      <c r="U106" s="382" t="s">
        <v>111</v>
      </c>
      <c r="V106" s="383"/>
      <c r="W106" s="383"/>
      <c r="X106" s="383"/>
      <c r="Y106" s="384"/>
    </row>
    <row r="107" spans="2:26" ht="15" x14ac:dyDescent="0.25">
      <c r="B107" s="23"/>
      <c r="C107" s="365" t="s">
        <v>28</v>
      </c>
      <c r="D107" s="365"/>
      <c r="E107" s="365"/>
      <c r="F107" s="365"/>
      <c r="G107" s="365"/>
      <c r="I107" s="365" t="s">
        <v>29</v>
      </c>
      <c r="J107" s="365"/>
      <c r="K107" s="365"/>
      <c r="L107" s="365"/>
      <c r="M107" s="365"/>
      <c r="N107" s="32"/>
      <c r="O107" s="365" t="s">
        <v>30</v>
      </c>
      <c r="P107" s="365"/>
      <c r="Q107" s="365"/>
      <c r="R107" s="365"/>
      <c r="S107" s="365"/>
      <c r="U107" s="365" t="s">
        <v>31</v>
      </c>
      <c r="V107" s="365"/>
      <c r="W107" s="365"/>
      <c r="X107" s="365"/>
      <c r="Y107" s="365"/>
    </row>
    <row r="108" spans="2:26" ht="13.5" thickBot="1" x14ac:dyDescent="0.25">
      <c r="B108" s="23"/>
      <c r="C108" s="22"/>
      <c r="D108" s="22"/>
      <c r="E108" s="22"/>
      <c r="F108" s="22"/>
      <c r="G108" s="45"/>
      <c r="I108" s="22"/>
      <c r="J108" s="22"/>
      <c r="K108" s="22"/>
      <c r="L108" s="22"/>
      <c r="M108" s="45"/>
      <c r="N108" s="32"/>
      <c r="O108" s="22"/>
      <c r="P108" s="22"/>
      <c r="Q108" s="22"/>
      <c r="R108" s="22"/>
      <c r="S108" s="45"/>
      <c r="U108" s="22"/>
      <c r="V108" s="22"/>
      <c r="W108" s="22"/>
      <c r="X108" s="22"/>
      <c r="Y108" s="45"/>
    </row>
    <row r="109" spans="2:26" x14ac:dyDescent="0.2">
      <c r="B109" s="23"/>
      <c r="C109" s="386" t="s">
        <v>1</v>
      </c>
      <c r="D109" s="388" t="s">
        <v>0</v>
      </c>
      <c r="E109" s="388" t="s">
        <v>32</v>
      </c>
      <c r="F109" s="388" t="s">
        <v>33</v>
      </c>
      <c r="G109" s="390" t="s">
        <v>34</v>
      </c>
      <c r="I109" s="386" t="s">
        <v>1</v>
      </c>
      <c r="J109" s="388" t="s">
        <v>0</v>
      </c>
      <c r="K109" s="388" t="s">
        <v>32</v>
      </c>
      <c r="L109" s="388" t="s">
        <v>33</v>
      </c>
      <c r="M109" s="390" t="s">
        <v>34</v>
      </c>
      <c r="N109" s="32"/>
      <c r="O109" s="386" t="s">
        <v>1</v>
      </c>
      <c r="P109" s="388" t="s">
        <v>0</v>
      </c>
      <c r="Q109" s="388" t="s">
        <v>32</v>
      </c>
      <c r="R109" s="388" t="s">
        <v>33</v>
      </c>
      <c r="S109" s="390" t="s">
        <v>34</v>
      </c>
      <c r="U109" s="386" t="s">
        <v>1</v>
      </c>
      <c r="V109" s="388" t="s">
        <v>0</v>
      </c>
      <c r="W109" s="388" t="s">
        <v>32</v>
      </c>
      <c r="X109" s="388" t="s">
        <v>33</v>
      </c>
      <c r="Y109" s="390" t="s">
        <v>34</v>
      </c>
    </row>
    <row r="110" spans="2:26" ht="13.5" thickBot="1" x14ac:dyDescent="0.25">
      <c r="B110" s="23"/>
      <c r="C110" s="387"/>
      <c r="D110" s="389"/>
      <c r="E110" s="389"/>
      <c r="F110" s="389"/>
      <c r="G110" s="391"/>
      <c r="I110" s="387"/>
      <c r="J110" s="389"/>
      <c r="K110" s="389"/>
      <c r="L110" s="389"/>
      <c r="M110" s="391"/>
      <c r="N110" s="32"/>
      <c r="O110" s="387"/>
      <c r="P110" s="389"/>
      <c r="Q110" s="389"/>
      <c r="R110" s="389"/>
      <c r="S110" s="391"/>
      <c r="U110" s="387"/>
      <c r="V110" s="389"/>
      <c r="W110" s="389"/>
      <c r="X110" s="389"/>
      <c r="Y110" s="391"/>
    </row>
    <row r="111" spans="2:26" x14ac:dyDescent="0.2">
      <c r="B111" s="23"/>
      <c r="C111" s="7">
        <v>43101</v>
      </c>
      <c r="D111" s="8">
        <v>5</v>
      </c>
      <c r="E111" s="8">
        <v>31</v>
      </c>
      <c r="F111" s="51">
        <v>96.52</v>
      </c>
      <c r="G111" s="18">
        <f>+E111/D111</f>
        <v>6.2</v>
      </c>
      <c r="I111" s="7">
        <v>43101</v>
      </c>
      <c r="J111" s="8">
        <v>6</v>
      </c>
      <c r="K111" s="8">
        <v>6</v>
      </c>
      <c r="L111" s="51">
        <v>35</v>
      </c>
      <c r="M111" s="18">
        <f>+K111/J111</f>
        <v>1</v>
      </c>
      <c r="N111" s="32"/>
      <c r="O111" s="7">
        <v>43101</v>
      </c>
      <c r="P111" s="8">
        <v>6</v>
      </c>
      <c r="Q111" s="8">
        <v>17</v>
      </c>
      <c r="R111" s="51">
        <v>60.1</v>
      </c>
      <c r="S111" s="18">
        <f>+Q111/P111</f>
        <v>2.8333333333333335</v>
      </c>
      <c r="U111" s="7">
        <v>43101</v>
      </c>
      <c r="V111" s="8">
        <v>5</v>
      </c>
      <c r="W111" s="177"/>
      <c r="X111" s="51"/>
      <c r="Y111" s="18">
        <f>+W111/V111</f>
        <v>0</v>
      </c>
      <c r="Z111" s="6"/>
    </row>
    <row r="112" spans="2:26" x14ac:dyDescent="0.2">
      <c r="B112" s="23"/>
      <c r="C112" s="7">
        <v>43132</v>
      </c>
      <c r="D112" s="4">
        <v>5</v>
      </c>
      <c r="E112" s="4">
        <v>30</v>
      </c>
      <c r="F112" s="48">
        <v>90.3</v>
      </c>
      <c r="G112" s="18">
        <f>+E112/D112</f>
        <v>6</v>
      </c>
      <c r="I112" s="7">
        <v>43132</v>
      </c>
      <c r="J112" s="4">
        <v>6</v>
      </c>
      <c r="K112" s="4">
        <v>5</v>
      </c>
      <c r="L112" s="48">
        <v>30</v>
      </c>
      <c r="M112" s="18">
        <f>+K112/J112</f>
        <v>0.83333333333333337</v>
      </c>
      <c r="N112" s="32"/>
      <c r="O112" s="7">
        <v>43132</v>
      </c>
      <c r="P112" s="4">
        <v>6</v>
      </c>
      <c r="Q112" s="4">
        <v>13</v>
      </c>
      <c r="R112" s="48">
        <v>49.8</v>
      </c>
      <c r="S112" s="18">
        <f>+Q112/P112</f>
        <v>2.1666666666666665</v>
      </c>
      <c r="U112" s="7">
        <v>43132</v>
      </c>
      <c r="V112" s="8">
        <v>5</v>
      </c>
      <c r="W112" s="177"/>
      <c r="X112" s="51"/>
      <c r="Y112" s="18">
        <f t="shared" ref="Y112:Y122" si="38">+W112/V112</f>
        <v>0</v>
      </c>
      <c r="Z112" s="6"/>
    </row>
    <row r="113" spans="2:26" x14ac:dyDescent="0.2">
      <c r="B113" s="23"/>
      <c r="C113" s="7">
        <v>43160</v>
      </c>
      <c r="D113" s="4">
        <v>5</v>
      </c>
      <c r="E113" s="4">
        <v>25</v>
      </c>
      <c r="F113" s="48">
        <v>78.8</v>
      </c>
      <c r="G113" s="18">
        <f>+E113/D113</f>
        <v>5</v>
      </c>
      <c r="I113" s="7">
        <v>43160</v>
      </c>
      <c r="J113" s="4">
        <v>6</v>
      </c>
      <c r="K113" s="4">
        <v>4</v>
      </c>
      <c r="L113" s="48">
        <v>24.8</v>
      </c>
      <c r="M113" s="18">
        <f>+K113/J113</f>
        <v>0.66666666666666663</v>
      </c>
      <c r="N113" s="32"/>
      <c r="O113" s="7">
        <v>43160</v>
      </c>
      <c r="P113" s="4">
        <v>6</v>
      </c>
      <c r="Q113" s="4">
        <v>14</v>
      </c>
      <c r="R113" s="48">
        <v>49.8</v>
      </c>
      <c r="S113" s="18">
        <f>+Q113/P113</f>
        <v>2.3333333333333335</v>
      </c>
      <c r="U113" s="7">
        <v>43160</v>
      </c>
      <c r="V113" s="8">
        <v>5</v>
      </c>
      <c r="W113" s="177"/>
      <c r="X113" s="51"/>
      <c r="Y113" s="18">
        <f t="shared" si="38"/>
        <v>0</v>
      </c>
      <c r="Z113" s="6"/>
    </row>
    <row r="114" spans="2:26" x14ac:dyDescent="0.2">
      <c r="B114" s="23"/>
      <c r="C114" s="7">
        <v>43191</v>
      </c>
      <c r="D114" s="4">
        <v>5</v>
      </c>
      <c r="E114" s="4">
        <v>26</v>
      </c>
      <c r="F114" s="48">
        <v>81.8</v>
      </c>
      <c r="G114" s="18">
        <f t="shared" ref="G114:G116" si="39">+E114/D114</f>
        <v>5.2</v>
      </c>
      <c r="I114" s="7">
        <v>43191</v>
      </c>
      <c r="J114" s="4">
        <v>6</v>
      </c>
      <c r="K114" s="4">
        <v>4</v>
      </c>
      <c r="L114" s="48">
        <v>24.8</v>
      </c>
      <c r="M114" s="18">
        <f t="shared" ref="M114:M119" si="40">+K114/J114</f>
        <v>0.66666666666666663</v>
      </c>
      <c r="N114" s="32"/>
      <c r="O114" s="7">
        <v>43191</v>
      </c>
      <c r="P114" s="4">
        <v>6</v>
      </c>
      <c r="Q114" s="4">
        <v>13</v>
      </c>
      <c r="R114" s="48">
        <v>49.8</v>
      </c>
      <c r="S114" s="18">
        <f t="shared" ref="S114:S116" si="41">+Q114/P114</f>
        <v>2.1666666666666665</v>
      </c>
      <c r="U114" s="7">
        <v>43191</v>
      </c>
      <c r="V114" s="8">
        <v>5</v>
      </c>
      <c r="W114" s="177"/>
      <c r="X114" s="51"/>
      <c r="Y114" s="18">
        <f t="shared" si="38"/>
        <v>0</v>
      </c>
      <c r="Z114" s="6"/>
    </row>
    <row r="115" spans="2:26" x14ac:dyDescent="0.2">
      <c r="B115" s="23"/>
      <c r="C115" s="7">
        <v>43221</v>
      </c>
      <c r="D115" s="4">
        <v>5</v>
      </c>
      <c r="E115" s="4">
        <v>30</v>
      </c>
      <c r="F115" s="48">
        <v>94.1</v>
      </c>
      <c r="G115" s="18">
        <f t="shared" si="39"/>
        <v>6</v>
      </c>
      <c r="I115" s="7">
        <v>43221</v>
      </c>
      <c r="J115" s="4">
        <v>6</v>
      </c>
      <c r="K115" s="4">
        <v>4</v>
      </c>
      <c r="L115" s="48">
        <v>24.8</v>
      </c>
      <c r="M115" s="18">
        <f t="shared" si="40"/>
        <v>0.66666666666666663</v>
      </c>
      <c r="N115" s="32"/>
      <c r="O115" s="7">
        <v>43221</v>
      </c>
      <c r="P115" s="4">
        <v>6</v>
      </c>
      <c r="Q115" s="4">
        <v>14</v>
      </c>
      <c r="R115" s="48">
        <v>49.8</v>
      </c>
      <c r="S115" s="18">
        <f t="shared" si="41"/>
        <v>2.3333333333333335</v>
      </c>
      <c r="U115" s="7">
        <v>43221</v>
      </c>
      <c r="V115" s="8">
        <v>5</v>
      </c>
      <c r="W115" s="177"/>
      <c r="X115" s="51"/>
      <c r="Y115" s="18">
        <f t="shared" si="38"/>
        <v>0</v>
      </c>
      <c r="Z115" s="6"/>
    </row>
    <row r="116" spans="2:26" x14ac:dyDescent="0.2">
      <c r="B116" s="23"/>
      <c r="C116" s="7">
        <v>43252</v>
      </c>
      <c r="D116" s="4">
        <v>5</v>
      </c>
      <c r="E116" s="4">
        <v>36</v>
      </c>
      <c r="F116" s="50">
        <v>133.19999999999999</v>
      </c>
      <c r="G116" s="18">
        <f t="shared" si="39"/>
        <v>7.2</v>
      </c>
      <c r="I116" s="7">
        <v>43252</v>
      </c>
      <c r="J116" s="4">
        <v>6</v>
      </c>
      <c r="K116" s="4">
        <v>4</v>
      </c>
      <c r="L116" s="48">
        <v>24.8</v>
      </c>
      <c r="M116" s="18">
        <f t="shared" si="40"/>
        <v>0.66666666666666663</v>
      </c>
      <c r="N116" s="32"/>
      <c r="O116" s="7">
        <v>43252</v>
      </c>
      <c r="P116" s="4">
        <v>6</v>
      </c>
      <c r="Q116" s="4">
        <v>13</v>
      </c>
      <c r="R116" s="50">
        <v>49.8</v>
      </c>
      <c r="S116" s="18">
        <f t="shared" si="41"/>
        <v>2.1666666666666665</v>
      </c>
      <c r="U116" s="7">
        <v>43252</v>
      </c>
      <c r="V116" s="8">
        <v>5</v>
      </c>
      <c r="W116" s="177"/>
      <c r="X116" s="51"/>
      <c r="Y116" s="18">
        <f t="shared" si="38"/>
        <v>0</v>
      </c>
      <c r="Z116" s="24"/>
    </row>
    <row r="117" spans="2:26" x14ac:dyDescent="0.2">
      <c r="B117" s="23"/>
      <c r="C117" s="7">
        <v>43282</v>
      </c>
      <c r="D117" s="4">
        <v>5</v>
      </c>
      <c r="E117" s="4">
        <v>26</v>
      </c>
      <c r="F117" s="48">
        <v>81.8</v>
      </c>
      <c r="G117" s="18">
        <f t="shared" ref="G117:G121" si="42">+E117/D117</f>
        <v>5.2</v>
      </c>
      <c r="I117" s="7">
        <v>43282</v>
      </c>
      <c r="J117" s="4">
        <v>6</v>
      </c>
      <c r="K117" s="4">
        <v>4</v>
      </c>
      <c r="L117" s="48">
        <v>24.8</v>
      </c>
      <c r="M117" s="18">
        <f t="shared" si="40"/>
        <v>0.66666666666666663</v>
      </c>
      <c r="N117" s="32"/>
      <c r="O117" s="7">
        <v>43282</v>
      </c>
      <c r="P117" s="4">
        <v>6</v>
      </c>
      <c r="Q117" s="4">
        <v>13</v>
      </c>
      <c r="R117" s="48">
        <v>49.8</v>
      </c>
      <c r="S117" s="18">
        <f t="shared" ref="S117:S119" si="43">+Q117/P117</f>
        <v>2.1666666666666665</v>
      </c>
      <c r="U117" s="7">
        <v>43282</v>
      </c>
      <c r="V117" s="8">
        <v>5</v>
      </c>
      <c r="W117" s="177"/>
      <c r="X117" s="51"/>
      <c r="Y117" s="18">
        <f t="shared" si="38"/>
        <v>0</v>
      </c>
    </row>
    <row r="118" spans="2:26" x14ac:dyDescent="0.2">
      <c r="B118" s="23"/>
      <c r="C118" s="7">
        <v>43313</v>
      </c>
      <c r="D118" s="4">
        <v>5</v>
      </c>
      <c r="E118" s="4">
        <v>30</v>
      </c>
      <c r="F118" s="48">
        <v>94.1</v>
      </c>
      <c r="G118" s="18">
        <f t="shared" si="42"/>
        <v>6</v>
      </c>
      <c r="I118" s="7">
        <v>43313</v>
      </c>
      <c r="J118" s="4">
        <v>6</v>
      </c>
      <c r="K118" s="4">
        <v>4</v>
      </c>
      <c r="L118" s="48">
        <v>24.8</v>
      </c>
      <c r="M118" s="18">
        <f t="shared" si="40"/>
        <v>0.66666666666666663</v>
      </c>
      <c r="N118" s="32"/>
      <c r="O118" s="7">
        <v>43313</v>
      </c>
      <c r="P118" s="4">
        <v>6</v>
      </c>
      <c r="Q118" s="4">
        <v>14</v>
      </c>
      <c r="R118" s="48">
        <v>49.8</v>
      </c>
      <c r="S118" s="18">
        <f t="shared" si="43"/>
        <v>2.3333333333333335</v>
      </c>
      <c r="U118" s="7">
        <v>43313</v>
      </c>
      <c r="V118" s="8">
        <v>5</v>
      </c>
      <c r="W118" s="177"/>
      <c r="X118" s="51"/>
      <c r="Y118" s="18">
        <f t="shared" si="38"/>
        <v>0</v>
      </c>
    </row>
    <row r="119" spans="2:26" x14ac:dyDescent="0.2">
      <c r="B119" s="23"/>
      <c r="C119" s="7">
        <v>43344</v>
      </c>
      <c r="D119" s="4">
        <v>5</v>
      </c>
      <c r="E119" s="4">
        <v>36</v>
      </c>
      <c r="F119" s="50">
        <v>133.19999999999999</v>
      </c>
      <c r="G119" s="18">
        <f t="shared" si="42"/>
        <v>7.2</v>
      </c>
      <c r="I119" s="7">
        <v>43344</v>
      </c>
      <c r="J119" s="4">
        <v>6</v>
      </c>
      <c r="K119" s="4">
        <v>4</v>
      </c>
      <c r="L119" s="48">
        <v>24.8</v>
      </c>
      <c r="M119" s="18">
        <f t="shared" si="40"/>
        <v>0.66666666666666663</v>
      </c>
      <c r="N119" s="32"/>
      <c r="O119" s="7">
        <v>43344</v>
      </c>
      <c r="P119" s="4">
        <v>6</v>
      </c>
      <c r="Q119" s="4">
        <v>13</v>
      </c>
      <c r="R119" s="50">
        <v>49.8</v>
      </c>
      <c r="S119" s="18">
        <f t="shared" si="43"/>
        <v>2.1666666666666665</v>
      </c>
      <c r="U119" s="7">
        <v>43344</v>
      </c>
      <c r="V119" s="8">
        <v>5</v>
      </c>
      <c r="W119" s="177"/>
      <c r="X119" s="51"/>
      <c r="Y119" s="18">
        <f t="shared" si="38"/>
        <v>0</v>
      </c>
    </row>
    <row r="120" spans="2:26" x14ac:dyDescent="0.2">
      <c r="B120" s="23"/>
      <c r="C120" s="7">
        <v>43374</v>
      </c>
      <c r="D120" s="4">
        <v>5</v>
      </c>
      <c r="E120" s="93">
        <v>6</v>
      </c>
      <c r="F120" s="23">
        <v>20.9</v>
      </c>
      <c r="G120" s="18">
        <f t="shared" si="42"/>
        <v>1.2</v>
      </c>
      <c r="I120" s="7">
        <v>43374</v>
      </c>
      <c r="J120" s="4">
        <v>6</v>
      </c>
      <c r="K120" s="4">
        <v>4</v>
      </c>
      <c r="L120" s="48">
        <v>24.8</v>
      </c>
      <c r="M120" s="18">
        <f t="shared" ref="M120:M122" si="44">+K120/J120</f>
        <v>0.66666666666666663</v>
      </c>
      <c r="N120" s="32"/>
      <c r="O120" s="7">
        <v>43374</v>
      </c>
      <c r="P120" s="4">
        <v>6</v>
      </c>
      <c r="Q120" s="4">
        <v>13</v>
      </c>
      <c r="R120" s="50">
        <v>49.8</v>
      </c>
      <c r="S120" s="18">
        <f t="shared" ref="S120:S122" si="45">+Q120/P120</f>
        <v>2.1666666666666665</v>
      </c>
      <c r="U120" s="7">
        <v>43374</v>
      </c>
      <c r="V120" s="8">
        <v>5</v>
      </c>
      <c r="W120" s="177"/>
      <c r="X120" s="51"/>
      <c r="Y120" s="18">
        <f t="shared" si="38"/>
        <v>0</v>
      </c>
    </row>
    <row r="121" spans="2:26" x14ac:dyDescent="0.2">
      <c r="B121" s="23"/>
      <c r="C121" s="7">
        <v>43405</v>
      </c>
      <c r="D121" s="4">
        <v>5</v>
      </c>
      <c r="E121" s="11">
        <v>6</v>
      </c>
      <c r="F121" s="9">
        <v>20.9</v>
      </c>
      <c r="G121" s="18">
        <f t="shared" si="42"/>
        <v>1.2</v>
      </c>
      <c r="I121" s="7">
        <v>43405</v>
      </c>
      <c r="J121" s="4">
        <v>6</v>
      </c>
      <c r="K121" s="4">
        <v>4</v>
      </c>
      <c r="L121" s="48">
        <v>24.8</v>
      </c>
      <c r="M121" s="18">
        <f t="shared" si="44"/>
        <v>0.66666666666666663</v>
      </c>
      <c r="N121" s="32"/>
      <c r="O121" s="7">
        <v>43405</v>
      </c>
      <c r="P121" s="4">
        <v>6</v>
      </c>
      <c r="Q121" s="4">
        <v>13</v>
      </c>
      <c r="R121" s="50">
        <v>49.8</v>
      </c>
      <c r="S121" s="18">
        <f t="shared" si="45"/>
        <v>2.1666666666666665</v>
      </c>
      <c r="U121" s="7">
        <v>43405</v>
      </c>
      <c r="V121" s="8">
        <v>5</v>
      </c>
      <c r="W121" s="177"/>
      <c r="X121" s="51"/>
      <c r="Y121" s="18">
        <f t="shared" si="38"/>
        <v>0</v>
      </c>
    </row>
    <row r="122" spans="2:26" ht="13.5" thickBot="1" x14ac:dyDescent="0.25">
      <c r="B122" s="23"/>
      <c r="C122" s="7">
        <v>43435</v>
      </c>
      <c r="D122" s="14">
        <v>5</v>
      </c>
      <c r="E122" s="11">
        <v>6</v>
      </c>
      <c r="F122" s="9">
        <v>20.9</v>
      </c>
      <c r="G122" s="18">
        <f t="shared" ref="G122" si="46">+E122/D122</f>
        <v>1.2</v>
      </c>
      <c r="I122" s="7">
        <v>43435</v>
      </c>
      <c r="J122" s="4">
        <v>6</v>
      </c>
      <c r="K122" s="4">
        <v>4</v>
      </c>
      <c r="L122" s="48">
        <v>24.8</v>
      </c>
      <c r="M122" s="18">
        <f t="shared" si="44"/>
        <v>0.66666666666666663</v>
      </c>
      <c r="N122" s="32"/>
      <c r="O122" s="7">
        <v>43435</v>
      </c>
      <c r="P122" s="4">
        <v>6</v>
      </c>
      <c r="Q122" s="4">
        <v>13</v>
      </c>
      <c r="R122" s="50">
        <v>49.8</v>
      </c>
      <c r="S122" s="18">
        <f t="shared" si="45"/>
        <v>2.1666666666666665</v>
      </c>
      <c r="U122" s="7">
        <v>43435</v>
      </c>
      <c r="V122" s="8">
        <v>5</v>
      </c>
      <c r="W122" s="177"/>
      <c r="X122" s="51"/>
      <c r="Y122" s="18">
        <f t="shared" si="38"/>
        <v>0</v>
      </c>
    </row>
    <row r="123" spans="2:26" ht="13.5" thickBot="1" x14ac:dyDescent="0.25">
      <c r="B123" s="23"/>
      <c r="C123" s="25" t="s">
        <v>2</v>
      </c>
      <c r="D123" s="26">
        <f>AVERAGE(D111:D122)</f>
        <v>5</v>
      </c>
      <c r="E123" s="26">
        <f>AVERAGE(E111:E122)</f>
        <v>24</v>
      </c>
      <c r="F123" s="26">
        <f>AVERAGE(F111:F122)</f>
        <v>78.876666666666651</v>
      </c>
      <c r="G123" s="26">
        <f>AVERAGE(G111:G122)</f>
        <v>4.8000000000000016</v>
      </c>
      <c r="I123" s="25" t="s">
        <v>2</v>
      </c>
      <c r="J123" s="26">
        <f>AVERAGE(J111:J122)</f>
        <v>6</v>
      </c>
      <c r="K123" s="26">
        <f>AVERAGE(K111:K122)</f>
        <v>4.25</v>
      </c>
      <c r="L123" s="26">
        <f>AVERAGE(L111:L122)</f>
        <v>26.083333333333339</v>
      </c>
      <c r="M123" s="26">
        <f>AVERAGE(M111:M122)</f>
        <v>0.70833333333333348</v>
      </c>
      <c r="N123" s="32"/>
      <c r="O123" s="25" t="s">
        <v>2</v>
      </c>
      <c r="P123" s="26">
        <f>AVERAGE(P111:P122)</f>
        <v>6</v>
      </c>
      <c r="Q123" s="26">
        <f>AVERAGE(Q111:Q122)</f>
        <v>13.583333333333334</v>
      </c>
      <c r="R123" s="26">
        <f>AVERAGE(R111:R122)</f>
        <v>50.658333333333331</v>
      </c>
      <c r="S123" s="26">
        <f>AVERAGE(S111:S122)</f>
        <v>2.2638888888888893</v>
      </c>
      <c r="U123" s="25" t="s">
        <v>2</v>
      </c>
      <c r="V123" s="26">
        <f>AVERAGE(V111:V122)</f>
        <v>5</v>
      </c>
      <c r="W123" s="26"/>
      <c r="X123" s="26"/>
      <c r="Y123" s="26"/>
    </row>
    <row r="124" spans="2:26" x14ac:dyDescent="0.2">
      <c r="B124" s="23"/>
      <c r="C124" s="45"/>
      <c r="F124" s="23"/>
      <c r="G124" s="45"/>
      <c r="I124" s="32"/>
      <c r="J124" s="32"/>
      <c r="K124" s="32"/>
      <c r="L124" s="32"/>
      <c r="M124" s="32"/>
      <c r="N124" s="32"/>
      <c r="U124" s="45"/>
      <c r="Y124" s="45"/>
    </row>
    <row r="125" spans="2:26" ht="13.5" thickBot="1" x14ac:dyDescent="0.25">
      <c r="B125" s="23"/>
      <c r="C125" s="45"/>
      <c r="F125" s="23"/>
      <c r="G125" s="45"/>
      <c r="I125" s="32"/>
      <c r="J125" s="32"/>
      <c r="K125" s="32"/>
      <c r="L125" s="32"/>
      <c r="M125" s="32"/>
      <c r="N125" s="32"/>
      <c r="U125" s="64" t="s">
        <v>107</v>
      </c>
      <c r="Y125" s="45"/>
    </row>
    <row r="126" spans="2:26" ht="13.5" thickBot="1" x14ac:dyDescent="0.25">
      <c r="B126" s="23"/>
      <c r="C126" s="382" t="s">
        <v>111</v>
      </c>
      <c r="D126" s="383"/>
      <c r="E126" s="383"/>
      <c r="F126" s="383"/>
      <c r="G126" s="384"/>
      <c r="I126" s="32"/>
      <c r="J126" s="32"/>
      <c r="K126" s="32"/>
      <c r="L126" s="32"/>
      <c r="M126" s="32"/>
      <c r="N126" s="32"/>
      <c r="U126" s="238"/>
      <c r="V126" s="238"/>
      <c r="W126" s="238"/>
      <c r="X126" s="32"/>
      <c r="Y126" s="45"/>
    </row>
    <row r="127" spans="2:26" x14ac:dyDescent="0.2">
      <c r="B127" s="23"/>
      <c r="C127" s="385" t="s">
        <v>96</v>
      </c>
      <c r="D127" s="385"/>
      <c r="E127" s="385"/>
      <c r="F127" s="385"/>
      <c r="G127" s="385"/>
      <c r="U127" s="32"/>
      <c r="V127" s="32"/>
      <c r="W127" s="32"/>
      <c r="X127" s="32"/>
    </row>
    <row r="128" spans="2:26" ht="16.5" thickBot="1" x14ac:dyDescent="0.3">
      <c r="B128" s="23"/>
      <c r="C128" s="22"/>
      <c r="D128" s="22"/>
      <c r="E128" s="22"/>
      <c r="F128" s="22"/>
      <c r="G128" s="45"/>
      <c r="K128" s="237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  <c r="W128" s="237"/>
      <c r="X128" s="32"/>
    </row>
    <row r="129" spans="2:24" x14ac:dyDescent="0.2">
      <c r="B129" s="23"/>
      <c r="C129" s="386" t="s">
        <v>1</v>
      </c>
      <c r="D129" s="388" t="s">
        <v>0</v>
      </c>
      <c r="E129" s="388" t="s">
        <v>32</v>
      </c>
      <c r="F129" s="388" t="s">
        <v>33</v>
      </c>
      <c r="G129" s="390" t="s">
        <v>34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</row>
    <row r="130" spans="2:24" ht="13.5" thickBot="1" x14ac:dyDescent="0.25">
      <c r="B130" s="23"/>
      <c r="C130" s="387"/>
      <c r="D130" s="389"/>
      <c r="E130" s="389"/>
      <c r="F130" s="389"/>
      <c r="G130" s="391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</row>
    <row r="131" spans="2:24" x14ac:dyDescent="0.2">
      <c r="B131" s="23"/>
      <c r="C131" s="7">
        <v>43101</v>
      </c>
      <c r="D131" s="8">
        <v>3</v>
      </c>
      <c r="E131" s="8"/>
      <c r="F131" s="51">
        <v>15</v>
      </c>
      <c r="G131" s="18">
        <f>+E131/D131</f>
        <v>0</v>
      </c>
      <c r="I131" s="6"/>
      <c r="J131" s="6"/>
    </row>
    <row r="132" spans="2:24" x14ac:dyDescent="0.2">
      <c r="B132" s="23"/>
      <c r="C132" s="7">
        <v>43132</v>
      </c>
      <c r="D132" s="4">
        <v>3</v>
      </c>
      <c r="E132" s="4"/>
      <c r="F132" s="48">
        <v>15</v>
      </c>
      <c r="G132" s="18">
        <f>+E132/D132</f>
        <v>0</v>
      </c>
      <c r="I132" s="6"/>
      <c r="J132" s="6"/>
    </row>
    <row r="133" spans="2:24" x14ac:dyDescent="0.2">
      <c r="B133" s="23"/>
      <c r="C133" s="7">
        <v>43160</v>
      </c>
      <c r="D133" s="4">
        <v>3</v>
      </c>
      <c r="E133" s="4"/>
      <c r="F133" s="48">
        <v>15</v>
      </c>
      <c r="G133" s="18">
        <f>+E133/D133</f>
        <v>0</v>
      </c>
      <c r="I133" s="6"/>
      <c r="J133" s="6"/>
    </row>
    <row r="134" spans="2:24" x14ac:dyDescent="0.2">
      <c r="B134" s="23"/>
      <c r="C134" s="7">
        <v>43191</v>
      </c>
      <c r="D134" s="4">
        <v>3</v>
      </c>
      <c r="E134" s="4"/>
      <c r="F134" s="48">
        <v>15</v>
      </c>
      <c r="G134" s="18">
        <f t="shared" ref="G134:G142" si="47">+E134/D134</f>
        <v>0</v>
      </c>
      <c r="I134" s="6"/>
      <c r="J134" s="6"/>
    </row>
    <row r="135" spans="2:24" x14ac:dyDescent="0.2">
      <c r="B135" s="23"/>
      <c r="C135" s="7">
        <v>43221</v>
      </c>
      <c r="D135" s="4">
        <v>3</v>
      </c>
      <c r="E135" s="4"/>
      <c r="F135" s="48">
        <v>15</v>
      </c>
      <c r="G135" s="18">
        <f t="shared" si="47"/>
        <v>0</v>
      </c>
    </row>
    <row r="136" spans="2:24" x14ac:dyDescent="0.2">
      <c r="B136" s="23"/>
      <c r="C136" s="7">
        <v>43252</v>
      </c>
      <c r="D136" s="4">
        <v>3</v>
      </c>
      <c r="E136" s="4"/>
      <c r="F136" s="48">
        <v>15</v>
      </c>
      <c r="G136" s="18">
        <f t="shared" si="47"/>
        <v>0</v>
      </c>
    </row>
    <row r="137" spans="2:24" x14ac:dyDescent="0.2">
      <c r="B137" s="23"/>
      <c r="C137" s="7">
        <v>43282</v>
      </c>
      <c r="D137" s="4">
        <v>3</v>
      </c>
      <c r="E137" s="52"/>
      <c r="F137" s="50">
        <v>15</v>
      </c>
      <c r="G137" s="18">
        <f t="shared" si="47"/>
        <v>0</v>
      </c>
    </row>
    <row r="138" spans="2:24" x14ac:dyDescent="0.2">
      <c r="B138" s="23"/>
      <c r="C138" s="7">
        <v>43313</v>
      </c>
      <c r="D138" s="11">
        <v>3</v>
      </c>
      <c r="E138" s="11"/>
      <c r="F138" s="9">
        <v>15</v>
      </c>
      <c r="G138" s="18">
        <f t="shared" si="47"/>
        <v>0</v>
      </c>
    </row>
    <row r="139" spans="2:24" x14ac:dyDescent="0.2">
      <c r="B139" s="23"/>
      <c r="C139" s="7">
        <v>43344</v>
      </c>
      <c r="D139" s="4">
        <v>3</v>
      </c>
      <c r="E139" s="11"/>
      <c r="F139" s="9">
        <v>15</v>
      </c>
      <c r="G139" s="18">
        <f t="shared" si="47"/>
        <v>0</v>
      </c>
    </row>
    <row r="140" spans="2:24" x14ac:dyDescent="0.2">
      <c r="B140" s="23"/>
      <c r="C140" s="7">
        <v>43374</v>
      </c>
      <c r="D140" s="4">
        <v>3</v>
      </c>
      <c r="E140" s="11"/>
      <c r="F140" s="9">
        <v>15</v>
      </c>
      <c r="G140" s="18">
        <f t="shared" si="47"/>
        <v>0</v>
      </c>
    </row>
    <row r="141" spans="2:24" x14ac:dyDescent="0.2">
      <c r="B141" s="23"/>
      <c r="C141" s="7">
        <v>43405</v>
      </c>
      <c r="D141" s="4">
        <v>3</v>
      </c>
      <c r="E141" s="11"/>
      <c r="F141" s="9">
        <v>15</v>
      </c>
      <c r="G141" s="18">
        <f t="shared" si="47"/>
        <v>0</v>
      </c>
    </row>
    <row r="142" spans="2:24" ht="13.5" thickBot="1" x14ac:dyDescent="0.25">
      <c r="B142" s="23"/>
      <c r="C142" s="7">
        <v>43435</v>
      </c>
      <c r="D142" s="14">
        <v>3</v>
      </c>
      <c r="E142" s="53"/>
      <c r="F142" s="13">
        <v>15</v>
      </c>
      <c r="G142" s="18">
        <f t="shared" si="47"/>
        <v>0</v>
      </c>
    </row>
    <row r="143" spans="2:24" ht="13.5" thickBot="1" x14ac:dyDescent="0.25">
      <c r="B143" s="23"/>
      <c r="C143" s="25" t="s">
        <v>2</v>
      </c>
      <c r="D143" s="26">
        <f>AVERAGE(D131:D142)</f>
        <v>3</v>
      </c>
      <c r="E143" s="26"/>
      <c r="F143" s="26">
        <f>AVERAGE(F131:F142)</f>
        <v>15</v>
      </c>
      <c r="G143" s="26">
        <f>AVERAGE(G131:G142)</f>
        <v>0</v>
      </c>
    </row>
    <row r="144" spans="2:24" x14ac:dyDescent="0.2">
      <c r="B144" s="23"/>
      <c r="C144" s="45"/>
      <c r="F144" s="23"/>
      <c r="G144" s="45"/>
    </row>
    <row r="145" spans="2:7" x14ac:dyDescent="0.2">
      <c r="B145" s="23"/>
      <c r="E145" s="45" t="s">
        <v>99</v>
      </c>
    </row>
    <row r="146" spans="2:7" x14ac:dyDescent="0.2">
      <c r="B146" s="64"/>
      <c r="C146" s="45"/>
      <c r="F146" s="23"/>
      <c r="G146" s="45"/>
    </row>
    <row r="147" spans="2:7" x14ac:dyDescent="0.2">
      <c r="B147" s="23"/>
      <c r="C147" s="45"/>
      <c r="F147" s="23"/>
      <c r="G147" s="45"/>
    </row>
    <row r="148" spans="2:7" x14ac:dyDescent="0.2">
      <c r="B148" s="23"/>
      <c r="C148" s="45"/>
      <c r="F148" s="23"/>
      <c r="G148" s="45"/>
    </row>
    <row r="149" spans="2:7" x14ac:dyDescent="0.2">
      <c r="B149" s="23"/>
      <c r="C149" s="45"/>
      <c r="F149" s="23"/>
      <c r="G149" s="45"/>
    </row>
    <row r="150" spans="2:7" x14ac:dyDescent="0.2">
      <c r="B150" s="23"/>
      <c r="C150" s="45"/>
      <c r="F150" s="23"/>
      <c r="G150" s="45"/>
    </row>
    <row r="151" spans="2:7" x14ac:dyDescent="0.2">
      <c r="B151" s="23"/>
      <c r="C151" s="45"/>
      <c r="F151" s="23"/>
      <c r="G151" s="45"/>
    </row>
    <row r="152" spans="2:7" x14ac:dyDescent="0.2">
      <c r="B152" s="23"/>
      <c r="C152" s="45"/>
      <c r="F152" s="23"/>
      <c r="G152" s="45"/>
    </row>
    <row r="153" spans="2:7" x14ac:dyDescent="0.2">
      <c r="B153" s="23"/>
      <c r="C153" s="45"/>
      <c r="F153" s="23"/>
      <c r="G153" s="45"/>
    </row>
    <row r="154" spans="2:7" x14ac:dyDescent="0.2">
      <c r="B154" s="23"/>
      <c r="C154" s="45"/>
      <c r="F154" s="23"/>
      <c r="G154" s="45"/>
    </row>
    <row r="155" spans="2:7" x14ac:dyDescent="0.2">
      <c r="B155" s="23"/>
      <c r="C155" s="45"/>
      <c r="F155" s="23"/>
      <c r="G155" s="45"/>
    </row>
    <row r="156" spans="2:7" x14ac:dyDescent="0.2">
      <c r="B156" s="23"/>
      <c r="C156" s="45"/>
      <c r="F156" s="23"/>
      <c r="G156" s="45"/>
    </row>
    <row r="157" spans="2:7" x14ac:dyDescent="0.2">
      <c r="B157" s="23"/>
      <c r="C157" s="45"/>
      <c r="F157" s="23"/>
      <c r="G157" s="45"/>
    </row>
    <row r="158" spans="2:7" x14ac:dyDescent="0.2">
      <c r="B158" s="23"/>
      <c r="C158" s="45"/>
      <c r="F158" s="23"/>
      <c r="G158" s="45"/>
    </row>
    <row r="159" spans="2:7" x14ac:dyDescent="0.2">
      <c r="B159" s="23"/>
      <c r="C159" s="45"/>
      <c r="F159" s="23"/>
      <c r="G159" s="45"/>
    </row>
    <row r="160" spans="2:7" x14ac:dyDescent="0.2">
      <c r="B160" s="23"/>
      <c r="C160" s="45"/>
      <c r="F160" s="23"/>
      <c r="G160" s="45"/>
    </row>
    <row r="161" spans="2:7" x14ac:dyDescent="0.2">
      <c r="B161" s="23"/>
      <c r="C161" s="45"/>
      <c r="F161" s="23"/>
      <c r="G161" s="45"/>
    </row>
    <row r="162" spans="2:7" x14ac:dyDescent="0.2">
      <c r="B162" s="23"/>
      <c r="C162" s="45"/>
      <c r="F162" s="23"/>
      <c r="G162" s="45"/>
    </row>
    <row r="163" spans="2:7" x14ac:dyDescent="0.2">
      <c r="B163" s="23"/>
      <c r="C163" s="45"/>
      <c r="F163" s="23"/>
      <c r="G163" s="45"/>
    </row>
    <row r="164" spans="2:7" x14ac:dyDescent="0.2">
      <c r="B164" s="23"/>
      <c r="C164" s="45"/>
      <c r="F164" s="23"/>
      <c r="G164" s="45"/>
    </row>
    <row r="165" spans="2:7" x14ac:dyDescent="0.2">
      <c r="B165" s="23"/>
      <c r="C165" s="45"/>
      <c r="F165" s="23"/>
      <c r="G165" s="45"/>
    </row>
    <row r="166" spans="2:7" x14ac:dyDescent="0.2">
      <c r="B166" s="23"/>
      <c r="C166" s="45"/>
      <c r="F166" s="23"/>
      <c r="G166" s="45"/>
    </row>
    <row r="167" spans="2:7" x14ac:dyDescent="0.2">
      <c r="B167" s="23"/>
      <c r="C167" s="45"/>
      <c r="F167" s="23"/>
      <c r="G167" s="45"/>
    </row>
    <row r="168" spans="2:7" x14ac:dyDescent="0.2">
      <c r="B168" s="23"/>
      <c r="C168" s="45"/>
      <c r="F168" s="23"/>
      <c r="G168" s="45"/>
    </row>
    <row r="169" spans="2:7" x14ac:dyDescent="0.2">
      <c r="B169" s="23"/>
      <c r="C169" s="45"/>
      <c r="F169" s="23"/>
      <c r="G169" s="45"/>
    </row>
    <row r="170" spans="2:7" x14ac:dyDescent="0.2">
      <c r="B170" s="23"/>
      <c r="C170" s="45"/>
      <c r="F170" s="23"/>
      <c r="G170" s="45"/>
    </row>
    <row r="171" spans="2:7" x14ac:dyDescent="0.2">
      <c r="B171" s="23"/>
      <c r="C171" s="45"/>
      <c r="F171" s="23"/>
      <c r="G171" s="45"/>
    </row>
    <row r="172" spans="2:7" x14ac:dyDescent="0.2">
      <c r="B172" s="23"/>
      <c r="C172" s="45"/>
      <c r="F172" s="23"/>
      <c r="G172" s="45"/>
    </row>
    <row r="173" spans="2:7" x14ac:dyDescent="0.2">
      <c r="B173" s="23"/>
      <c r="C173" s="45"/>
      <c r="F173" s="23"/>
      <c r="G173" s="45"/>
    </row>
    <row r="174" spans="2:7" x14ac:dyDescent="0.2">
      <c r="B174" s="23"/>
      <c r="C174" s="45"/>
      <c r="F174" s="23"/>
      <c r="G174" s="45"/>
    </row>
    <row r="175" spans="2:7" x14ac:dyDescent="0.2">
      <c r="B175" s="23"/>
      <c r="C175" s="45"/>
      <c r="F175" s="23"/>
      <c r="G175" s="45"/>
    </row>
    <row r="176" spans="2:7" x14ac:dyDescent="0.2">
      <c r="B176" s="23"/>
      <c r="C176" s="45"/>
      <c r="F176" s="23"/>
      <c r="G176" s="45"/>
    </row>
    <row r="177" spans="2:7" x14ac:dyDescent="0.2">
      <c r="B177" s="23"/>
      <c r="C177" s="45"/>
      <c r="F177" s="23"/>
      <c r="G177" s="45"/>
    </row>
    <row r="178" spans="2:7" x14ac:dyDescent="0.2">
      <c r="B178" s="23"/>
      <c r="C178" s="45"/>
      <c r="F178" s="23"/>
      <c r="G178" s="45"/>
    </row>
    <row r="179" spans="2:7" x14ac:dyDescent="0.2">
      <c r="B179" s="23"/>
      <c r="C179" s="45"/>
      <c r="F179" s="23"/>
      <c r="G179" s="45"/>
    </row>
    <row r="180" spans="2:7" x14ac:dyDescent="0.2">
      <c r="B180" s="23"/>
      <c r="C180" s="45"/>
      <c r="F180" s="23"/>
      <c r="G180" s="45"/>
    </row>
    <row r="181" spans="2:7" x14ac:dyDescent="0.2">
      <c r="B181" s="23"/>
      <c r="C181" s="45"/>
      <c r="F181" s="23"/>
      <c r="G181" s="45"/>
    </row>
    <row r="182" spans="2:7" x14ac:dyDescent="0.2">
      <c r="B182" s="23"/>
      <c r="C182" s="45"/>
      <c r="F182" s="23"/>
      <c r="G182" s="45"/>
    </row>
    <row r="183" spans="2:7" x14ac:dyDescent="0.2">
      <c r="B183" s="23"/>
      <c r="C183" s="45"/>
      <c r="F183" s="23"/>
      <c r="G183" s="45"/>
    </row>
    <row r="184" spans="2:7" x14ac:dyDescent="0.2">
      <c r="B184" s="23"/>
      <c r="C184" s="45"/>
      <c r="F184" s="23"/>
      <c r="G184" s="45"/>
    </row>
    <row r="185" spans="2:7" x14ac:dyDescent="0.2">
      <c r="B185" s="23"/>
      <c r="C185" s="45"/>
      <c r="F185" s="23"/>
      <c r="G185" s="45"/>
    </row>
    <row r="186" spans="2:7" x14ac:dyDescent="0.2">
      <c r="B186" s="23"/>
      <c r="C186" s="45"/>
      <c r="F186" s="23"/>
      <c r="G186" s="45"/>
    </row>
    <row r="187" spans="2:7" x14ac:dyDescent="0.2">
      <c r="B187" s="23"/>
      <c r="C187" s="45"/>
      <c r="F187" s="23"/>
      <c r="G187" s="45"/>
    </row>
    <row r="188" spans="2:7" x14ac:dyDescent="0.2">
      <c r="B188" s="23"/>
      <c r="C188" s="45"/>
      <c r="F188" s="23"/>
      <c r="G188" s="45"/>
    </row>
    <row r="189" spans="2:7" x14ac:dyDescent="0.2">
      <c r="B189" s="23"/>
      <c r="C189" s="45"/>
      <c r="F189" s="23"/>
      <c r="G189" s="45"/>
    </row>
    <row r="190" spans="2:7" x14ac:dyDescent="0.2">
      <c r="B190" s="23"/>
      <c r="C190" s="45"/>
      <c r="F190" s="23"/>
      <c r="G190" s="45"/>
    </row>
    <row r="191" spans="2:7" x14ac:dyDescent="0.2">
      <c r="B191" s="23"/>
      <c r="C191" s="45"/>
      <c r="F191" s="23"/>
      <c r="G191" s="45"/>
    </row>
    <row r="192" spans="2:7" x14ac:dyDescent="0.2">
      <c r="B192" s="23"/>
      <c r="C192" s="45"/>
      <c r="F192" s="23"/>
      <c r="G192" s="45"/>
    </row>
    <row r="193" spans="2:7" x14ac:dyDescent="0.2">
      <c r="B193" s="23"/>
      <c r="C193" s="45"/>
      <c r="F193" s="23"/>
      <c r="G193" s="45"/>
    </row>
    <row r="194" spans="2:7" x14ac:dyDescent="0.2">
      <c r="B194" s="23"/>
      <c r="C194" s="45"/>
      <c r="F194" s="23"/>
      <c r="G194" s="45"/>
    </row>
    <row r="195" spans="2:7" x14ac:dyDescent="0.2">
      <c r="B195" s="23"/>
      <c r="C195" s="45"/>
      <c r="F195" s="23"/>
      <c r="G195" s="45"/>
    </row>
    <row r="196" spans="2:7" x14ac:dyDescent="0.2">
      <c r="B196" s="23"/>
      <c r="C196" s="45"/>
      <c r="F196" s="23"/>
      <c r="G196" s="45"/>
    </row>
    <row r="197" spans="2:7" x14ac:dyDescent="0.2">
      <c r="B197" s="23"/>
      <c r="C197" s="45"/>
      <c r="F197" s="23"/>
      <c r="G197" s="45"/>
    </row>
    <row r="198" spans="2:7" x14ac:dyDescent="0.2">
      <c r="B198" s="23"/>
      <c r="C198" s="45"/>
      <c r="F198" s="23"/>
      <c r="G198" s="45"/>
    </row>
    <row r="199" spans="2:7" x14ac:dyDescent="0.2">
      <c r="B199" s="23"/>
      <c r="C199" s="45"/>
      <c r="F199" s="23"/>
      <c r="G199" s="45"/>
    </row>
    <row r="200" spans="2:7" x14ac:dyDescent="0.2">
      <c r="B200" s="23"/>
      <c r="C200" s="45"/>
      <c r="F200" s="23"/>
      <c r="G200" s="45"/>
    </row>
    <row r="201" spans="2:7" x14ac:dyDescent="0.2">
      <c r="B201" s="23"/>
      <c r="C201" s="45"/>
      <c r="F201" s="23"/>
      <c r="G201" s="45"/>
    </row>
    <row r="202" spans="2:7" x14ac:dyDescent="0.2">
      <c r="B202" s="23"/>
      <c r="C202" s="45"/>
      <c r="F202" s="23"/>
      <c r="G202" s="45"/>
    </row>
    <row r="203" spans="2:7" x14ac:dyDescent="0.2">
      <c r="B203" s="23"/>
      <c r="C203" s="45"/>
      <c r="F203" s="23"/>
      <c r="G203" s="45"/>
    </row>
    <row r="204" spans="2:7" x14ac:dyDescent="0.2">
      <c r="B204" s="23"/>
      <c r="C204" s="45"/>
      <c r="F204" s="23"/>
      <c r="G204" s="45"/>
    </row>
    <row r="205" spans="2:7" x14ac:dyDescent="0.2">
      <c r="B205" s="23"/>
      <c r="C205" s="45"/>
      <c r="F205" s="23"/>
      <c r="G205" s="45"/>
    </row>
    <row r="206" spans="2:7" x14ac:dyDescent="0.2">
      <c r="B206" s="23"/>
      <c r="C206" s="45"/>
      <c r="F206" s="23"/>
      <c r="G206" s="45"/>
    </row>
    <row r="207" spans="2:7" x14ac:dyDescent="0.2">
      <c r="B207" s="23"/>
      <c r="C207" s="45"/>
      <c r="F207" s="23"/>
      <c r="G207" s="45"/>
    </row>
    <row r="208" spans="2:7" x14ac:dyDescent="0.2">
      <c r="B208" s="23"/>
      <c r="C208" s="45"/>
      <c r="F208" s="23"/>
      <c r="G208" s="45"/>
    </row>
    <row r="209" spans="2:7" x14ac:dyDescent="0.2">
      <c r="B209" s="23"/>
      <c r="C209" s="45"/>
      <c r="F209" s="23"/>
      <c r="G209" s="45"/>
    </row>
    <row r="210" spans="2:7" x14ac:dyDescent="0.2">
      <c r="B210" s="23"/>
      <c r="C210" s="45"/>
      <c r="F210" s="23"/>
      <c r="G210" s="45"/>
    </row>
    <row r="211" spans="2:7" x14ac:dyDescent="0.2">
      <c r="B211" s="23"/>
      <c r="C211" s="45"/>
      <c r="F211" s="23"/>
      <c r="G211" s="45"/>
    </row>
    <row r="212" spans="2:7" x14ac:dyDescent="0.2">
      <c r="B212" s="23"/>
      <c r="C212" s="45"/>
      <c r="F212" s="23"/>
      <c r="G212" s="45"/>
    </row>
    <row r="213" spans="2:7" x14ac:dyDescent="0.2">
      <c r="B213" s="23"/>
      <c r="C213" s="45"/>
      <c r="F213" s="23"/>
      <c r="G213" s="45"/>
    </row>
    <row r="214" spans="2:7" x14ac:dyDescent="0.2">
      <c r="B214" s="23"/>
      <c r="C214" s="45"/>
      <c r="F214" s="23"/>
      <c r="G214" s="45"/>
    </row>
    <row r="215" spans="2:7" x14ac:dyDescent="0.2">
      <c r="B215" s="23"/>
      <c r="C215" s="45"/>
      <c r="F215" s="23"/>
      <c r="G215" s="45"/>
    </row>
    <row r="216" spans="2:7" x14ac:dyDescent="0.2">
      <c r="B216" s="23"/>
      <c r="C216" s="45"/>
      <c r="F216" s="23"/>
      <c r="G216" s="45"/>
    </row>
    <row r="217" spans="2:7" x14ac:dyDescent="0.2">
      <c r="B217" s="23"/>
      <c r="C217" s="45"/>
      <c r="F217" s="23"/>
      <c r="G217" s="45"/>
    </row>
    <row r="218" spans="2:7" x14ac:dyDescent="0.2">
      <c r="B218" s="23"/>
      <c r="C218" s="45"/>
      <c r="F218" s="23"/>
      <c r="G218" s="45"/>
    </row>
    <row r="219" spans="2:7" x14ac:dyDescent="0.2">
      <c r="B219" s="23"/>
      <c r="C219" s="45"/>
      <c r="F219" s="23"/>
      <c r="G219" s="45"/>
    </row>
    <row r="220" spans="2:7" x14ac:dyDescent="0.2">
      <c r="B220" s="23"/>
      <c r="C220" s="45"/>
      <c r="F220" s="23"/>
      <c r="G220" s="45"/>
    </row>
    <row r="221" spans="2:7" x14ac:dyDescent="0.2">
      <c r="B221" s="23"/>
      <c r="C221" s="45"/>
      <c r="F221" s="23"/>
      <c r="G221" s="45"/>
    </row>
    <row r="222" spans="2:7" x14ac:dyDescent="0.2">
      <c r="B222" s="23"/>
      <c r="C222" s="45"/>
      <c r="F222" s="23"/>
      <c r="G222" s="45"/>
    </row>
    <row r="223" spans="2:7" x14ac:dyDescent="0.2">
      <c r="B223" s="23"/>
      <c r="C223" s="45"/>
      <c r="F223" s="23"/>
      <c r="G223" s="45"/>
    </row>
    <row r="224" spans="2:7" x14ac:dyDescent="0.2">
      <c r="B224" s="23"/>
      <c r="C224" s="45"/>
      <c r="F224" s="23"/>
      <c r="G224" s="45"/>
    </row>
    <row r="225" spans="2:7" x14ac:dyDescent="0.2">
      <c r="B225" s="23"/>
      <c r="C225" s="45"/>
      <c r="F225" s="23"/>
      <c r="G225" s="45"/>
    </row>
    <row r="226" spans="2:7" x14ac:dyDescent="0.2">
      <c r="B226" s="23"/>
      <c r="C226" s="45"/>
      <c r="F226" s="23"/>
      <c r="G226" s="45"/>
    </row>
    <row r="227" spans="2:7" x14ac:dyDescent="0.2">
      <c r="B227" s="23"/>
      <c r="C227" s="45"/>
      <c r="F227" s="23"/>
      <c r="G227" s="45"/>
    </row>
    <row r="228" spans="2:7" x14ac:dyDescent="0.2">
      <c r="B228" s="23"/>
      <c r="C228" s="45"/>
      <c r="F228" s="23"/>
      <c r="G228" s="45"/>
    </row>
    <row r="229" spans="2:7" x14ac:dyDescent="0.2">
      <c r="B229" s="23"/>
      <c r="C229" s="45"/>
      <c r="F229" s="23"/>
      <c r="G229" s="45"/>
    </row>
    <row r="230" spans="2:7" x14ac:dyDescent="0.2">
      <c r="B230" s="23"/>
      <c r="C230" s="45"/>
      <c r="F230" s="23"/>
      <c r="G230" s="45"/>
    </row>
    <row r="231" spans="2:7" x14ac:dyDescent="0.2">
      <c r="B231" s="23"/>
      <c r="C231" s="45"/>
      <c r="F231" s="23"/>
      <c r="G231" s="45"/>
    </row>
    <row r="232" spans="2:7" x14ac:dyDescent="0.2">
      <c r="B232" s="23"/>
      <c r="C232" s="45"/>
      <c r="F232" s="23"/>
      <c r="G232" s="45"/>
    </row>
    <row r="233" spans="2:7" x14ac:dyDescent="0.2">
      <c r="B233" s="23"/>
      <c r="C233" s="45"/>
      <c r="F233" s="23"/>
      <c r="G233" s="45"/>
    </row>
    <row r="234" spans="2:7" x14ac:dyDescent="0.2">
      <c r="B234" s="23"/>
      <c r="C234" s="45"/>
      <c r="F234" s="23"/>
      <c r="G234" s="45"/>
    </row>
    <row r="235" spans="2:7" x14ac:dyDescent="0.2">
      <c r="B235" s="23"/>
      <c r="C235" s="45"/>
      <c r="F235" s="23"/>
      <c r="G235" s="45"/>
    </row>
    <row r="236" spans="2:7" x14ac:dyDescent="0.2">
      <c r="B236" s="23"/>
      <c r="C236" s="45"/>
      <c r="F236" s="23"/>
      <c r="G236" s="45"/>
    </row>
    <row r="237" spans="2:7" x14ac:dyDescent="0.2">
      <c r="B237" s="23"/>
      <c r="C237" s="45"/>
      <c r="F237" s="23"/>
      <c r="G237" s="45"/>
    </row>
    <row r="238" spans="2:7" x14ac:dyDescent="0.2">
      <c r="B238" s="23"/>
      <c r="C238" s="45"/>
      <c r="F238" s="23"/>
      <c r="G238" s="45"/>
    </row>
    <row r="239" spans="2:7" x14ac:dyDescent="0.2">
      <c r="B239" s="23"/>
      <c r="C239" s="45"/>
      <c r="F239" s="23"/>
      <c r="G239" s="45"/>
    </row>
    <row r="240" spans="2:7" x14ac:dyDescent="0.2">
      <c r="B240" s="23"/>
      <c r="C240" s="45"/>
      <c r="F240" s="23"/>
      <c r="G240" s="45"/>
    </row>
    <row r="241" spans="2:7" x14ac:dyDescent="0.2">
      <c r="B241" s="23"/>
      <c r="C241" s="45"/>
      <c r="F241" s="23"/>
      <c r="G241" s="45"/>
    </row>
    <row r="242" spans="2:7" x14ac:dyDescent="0.2">
      <c r="B242" s="23"/>
      <c r="C242" s="45"/>
      <c r="F242" s="23"/>
      <c r="G242" s="45"/>
    </row>
    <row r="243" spans="2:7" x14ac:dyDescent="0.2">
      <c r="B243" s="23"/>
      <c r="C243" s="45"/>
      <c r="F243" s="23"/>
      <c r="G243" s="45"/>
    </row>
    <row r="244" spans="2:7" x14ac:dyDescent="0.2">
      <c r="B244" s="23"/>
      <c r="C244" s="45"/>
      <c r="F244" s="23"/>
      <c r="G244" s="45"/>
    </row>
    <row r="245" spans="2:7" x14ac:dyDescent="0.2">
      <c r="B245" s="23"/>
      <c r="C245" s="45"/>
      <c r="F245" s="23"/>
      <c r="G245" s="45"/>
    </row>
    <row r="246" spans="2:7" x14ac:dyDescent="0.2">
      <c r="B246" s="23"/>
      <c r="C246" s="45"/>
      <c r="F246" s="23"/>
      <c r="G246" s="45"/>
    </row>
    <row r="247" spans="2:7" x14ac:dyDescent="0.2">
      <c r="B247" s="23"/>
      <c r="C247" s="45"/>
      <c r="F247" s="23"/>
      <c r="G247" s="45"/>
    </row>
    <row r="248" spans="2:7" x14ac:dyDescent="0.2">
      <c r="B248" s="23"/>
      <c r="C248" s="45"/>
      <c r="F248" s="23"/>
      <c r="G248" s="45"/>
    </row>
  </sheetData>
  <mergeCells count="195">
    <mergeCell ref="K89:K90"/>
    <mergeCell ref="L89:L90"/>
    <mergeCell ref="U26:Y26"/>
    <mergeCell ref="O28:O29"/>
    <mergeCell ref="P28:P29"/>
    <mergeCell ref="C5:G5"/>
    <mergeCell ref="I5:M5"/>
    <mergeCell ref="O5:S5"/>
    <mergeCell ref="C6:G6"/>
    <mergeCell ref="I6:M6"/>
    <mergeCell ref="O6:S6"/>
    <mergeCell ref="U5:Y5"/>
    <mergeCell ref="U6:Y6"/>
    <mergeCell ref="Y8:Y9"/>
    <mergeCell ref="C25:G25"/>
    <mergeCell ref="I25:M25"/>
    <mergeCell ref="C26:G26"/>
    <mergeCell ref="I26:M26"/>
    <mergeCell ref="Q28:Q29"/>
    <mergeCell ref="R28:R29"/>
    <mergeCell ref="S28:S29"/>
    <mergeCell ref="U28:U29"/>
    <mergeCell ref="V28:V29"/>
    <mergeCell ref="W28:W29"/>
    <mergeCell ref="X28:X29"/>
    <mergeCell ref="Y28:Y29"/>
    <mergeCell ref="M10:M22"/>
    <mergeCell ref="O25:S25"/>
    <mergeCell ref="C46:G46"/>
    <mergeCell ref="I46:M46"/>
    <mergeCell ref="G69:G70"/>
    <mergeCell ref="I69:I70"/>
    <mergeCell ref="C28:C29"/>
    <mergeCell ref="D28:D29"/>
    <mergeCell ref="E28:E29"/>
    <mergeCell ref="F28:F29"/>
    <mergeCell ref="G28:G29"/>
    <mergeCell ref="I28:I29"/>
    <mergeCell ref="J28:J29"/>
    <mergeCell ref="K28:K29"/>
    <mergeCell ref="L28:L29"/>
    <mergeCell ref="M28:M29"/>
    <mergeCell ref="C47:G47"/>
    <mergeCell ref="I47:M47"/>
    <mergeCell ref="K51:K62"/>
    <mergeCell ref="C66:G66"/>
    <mergeCell ref="I66:M66"/>
    <mergeCell ref="D41:G41"/>
    <mergeCell ref="J69:J70"/>
    <mergeCell ref="K69:K70"/>
    <mergeCell ref="L69:L70"/>
    <mergeCell ref="M69:M70"/>
    <mergeCell ref="AC6:AC7"/>
    <mergeCell ref="AD6:AD7"/>
    <mergeCell ref="AE6:AE7"/>
    <mergeCell ref="C8:C9"/>
    <mergeCell ref="D8:D9"/>
    <mergeCell ref="E8:E9"/>
    <mergeCell ref="F8:F9"/>
    <mergeCell ref="G8:G9"/>
    <mergeCell ref="I8:I9"/>
    <mergeCell ref="J8:J9"/>
    <mergeCell ref="K8:K9"/>
    <mergeCell ref="L8:L9"/>
    <mergeCell ref="M8:M9"/>
    <mergeCell ref="O8:O9"/>
    <mergeCell ref="P8:P9"/>
    <mergeCell ref="Q8:Q9"/>
    <mergeCell ref="R8:R9"/>
    <mergeCell ref="S8:S9"/>
    <mergeCell ref="U8:U9"/>
    <mergeCell ref="V8:V9"/>
    <mergeCell ref="W8:W9"/>
    <mergeCell ref="X8:X9"/>
    <mergeCell ref="R49:R50"/>
    <mergeCell ref="S49:S50"/>
    <mergeCell ref="U49:U50"/>
    <mergeCell ref="V49:V50"/>
    <mergeCell ref="W49:W50"/>
    <mergeCell ref="X49:X50"/>
    <mergeCell ref="Y49:Y50"/>
    <mergeCell ref="AA6:AA7"/>
    <mergeCell ref="AB6:AB7"/>
    <mergeCell ref="U25:Y25"/>
    <mergeCell ref="O26:S26"/>
    <mergeCell ref="C49:C50"/>
    <mergeCell ref="D49:D50"/>
    <mergeCell ref="E49:E50"/>
    <mergeCell ref="F49:F50"/>
    <mergeCell ref="G49:G50"/>
    <mergeCell ref="I49:I50"/>
    <mergeCell ref="J49:J50"/>
    <mergeCell ref="K49:K50"/>
    <mergeCell ref="L49:L50"/>
    <mergeCell ref="C67:G67"/>
    <mergeCell ref="I67:M67"/>
    <mergeCell ref="O67:S67"/>
    <mergeCell ref="U67:Y67"/>
    <mergeCell ref="Y69:Y70"/>
    <mergeCell ref="K71:K82"/>
    <mergeCell ref="Q71:Q82"/>
    <mergeCell ref="C69:C70"/>
    <mergeCell ref="D69:D70"/>
    <mergeCell ref="E69:E70"/>
    <mergeCell ref="F69:F70"/>
    <mergeCell ref="O69:O70"/>
    <mergeCell ref="P69:P70"/>
    <mergeCell ref="Q69:Q70"/>
    <mergeCell ref="R69:R70"/>
    <mergeCell ref="S69:S70"/>
    <mergeCell ref="U69:U70"/>
    <mergeCell ref="V69:V70"/>
    <mergeCell ref="W69:W70"/>
    <mergeCell ref="X69:X70"/>
    <mergeCell ref="C84:G84"/>
    <mergeCell ref="C86:G86"/>
    <mergeCell ref="I86:M86"/>
    <mergeCell ref="O86:S86"/>
    <mergeCell ref="U86:Y86"/>
    <mergeCell ref="C87:G87"/>
    <mergeCell ref="I87:M87"/>
    <mergeCell ref="O87:S87"/>
    <mergeCell ref="U87:Y87"/>
    <mergeCell ref="E91:E102"/>
    <mergeCell ref="K91:K102"/>
    <mergeCell ref="Q91:Q102"/>
    <mergeCell ref="C106:G106"/>
    <mergeCell ref="I106:M106"/>
    <mergeCell ref="O106:S106"/>
    <mergeCell ref="U106:Y106"/>
    <mergeCell ref="M89:M90"/>
    <mergeCell ref="O89:O90"/>
    <mergeCell ref="P89:P90"/>
    <mergeCell ref="Q89:Q90"/>
    <mergeCell ref="R89:R90"/>
    <mergeCell ref="S89:S90"/>
    <mergeCell ref="U89:U90"/>
    <mergeCell ref="V89:V90"/>
    <mergeCell ref="W89:W90"/>
    <mergeCell ref="C89:C90"/>
    <mergeCell ref="D89:D90"/>
    <mergeCell ref="E89:E90"/>
    <mergeCell ref="F89:F90"/>
    <mergeCell ref="G89:G90"/>
    <mergeCell ref="I89:I90"/>
    <mergeCell ref="V102:Y102"/>
    <mergeCell ref="J89:J90"/>
    <mergeCell ref="M109:M110"/>
    <mergeCell ref="V21:Y21"/>
    <mergeCell ref="O109:O110"/>
    <mergeCell ref="P109:P110"/>
    <mergeCell ref="Q109:Q110"/>
    <mergeCell ref="R109:R110"/>
    <mergeCell ref="S109:S110"/>
    <mergeCell ref="U109:U110"/>
    <mergeCell ref="V109:V110"/>
    <mergeCell ref="W109:W110"/>
    <mergeCell ref="X109:X110"/>
    <mergeCell ref="Y109:Y110"/>
    <mergeCell ref="X89:X90"/>
    <mergeCell ref="Y89:Y90"/>
    <mergeCell ref="O66:S66"/>
    <mergeCell ref="U66:Y66"/>
    <mergeCell ref="O46:S46"/>
    <mergeCell ref="U46:Y46"/>
    <mergeCell ref="O47:S47"/>
    <mergeCell ref="U47:Y47"/>
    <mergeCell ref="M49:M50"/>
    <mergeCell ref="O49:O50"/>
    <mergeCell ref="P49:P50"/>
    <mergeCell ref="Q49:Q50"/>
    <mergeCell ref="Q41:S41"/>
    <mergeCell ref="W41:Y41"/>
    <mergeCell ref="K10:K22"/>
    <mergeCell ref="V82:Y82"/>
    <mergeCell ref="C126:G126"/>
    <mergeCell ref="C127:G127"/>
    <mergeCell ref="C129:C130"/>
    <mergeCell ref="D129:D130"/>
    <mergeCell ref="E129:E130"/>
    <mergeCell ref="F129:F130"/>
    <mergeCell ref="G129:G130"/>
    <mergeCell ref="C107:G107"/>
    <mergeCell ref="I107:M107"/>
    <mergeCell ref="O107:S107"/>
    <mergeCell ref="U107:Y107"/>
    <mergeCell ref="C109:C110"/>
    <mergeCell ref="D109:D110"/>
    <mergeCell ref="E109:E110"/>
    <mergeCell ref="F109:F110"/>
    <mergeCell ref="G109:G110"/>
    <mergeCell ref="I109:I110"/>
    <mergeCell ref="J109:J110"/>
    <mergeCell ref="K109:K110"/>
    <mergeCell ref="L109:L110"/>
  </mergeCells>
  <printOptions horizontalCentered="1"/>
  <pageMargins left="0.23622047244094491" right="0.31496062992125984" top="0.27559055118110237" bottom="0.19685039370078741" header="0.15748031496062992" footer="0.31496062992125984"/>
  <pageSetup paperSize="9" scale="5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Luz LIMA y CO</vt:lpstr>
      <vt:lpstr>AGUA Lima y CO</vt:lpstr>
      <vt:lpstr>Luz OD</vt:lpstr>
      <vt:lpstr>Agua OD</vt:lpstr>
    </vt:vector>
  </TitlesOfParts>
  <Company>PURIZAGA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HAYDEE</dc:creator>
  <cp:lastModifiedBy>Luis Delgado Casablanca</cp:lastModifiedBy>
  <cp:lastPrinted>2018-04-21T01:36:31Z</cp:lastPrinted>
  <dcterms:created xsi:type="dcterms:W3CDTF">2009-03-15T16:13:30Z</dcterms:created>
  <dcterms:modified xsi:type="dcterms:W3CDTF">2019-01-16T17:39:48Z</dcterms:modified>
</cp:coreProperties>
</file>