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 defaultThemeVersion="124226"/>
  <bookViews>
    <workbookView xWindow="90" yWindow="-45" windowWidth="16170" windowHeight="10170" tabRatio="878"/>
  </bookViews>
  <sheets>
    <sheet name="INICIO" sheetId="15" r:id="rId1"/>
    <sheet name="C 1" sheetId="1" r:id="rId2"/>
    <sheet name="C 2" sheetId="2" r:id="rId3"/>
    <sheet name="C 3" sheetId="3" r:id="rId4"/>
    <sheet name="C 7" sheetId="7" r:id="rId5"/>
    <sheet name="C 8" sheetId="8" r:id="rId6"/>
    <sheet name="C 9" sheetId="9" r:id="rId7"/>
    <sheet name="C 13" sheetId="13" r:id="rId8"/>
    <sheet name="Datos" sheetId="36" r:id="rId9"/>
    <sheet name="Anualización" sheetId="16" r:id="rId10"/>
    <sheet name="Tarjetas" sheetId="39" r:id="rId11"/>
    <sheet name="DIM PLAT" sheetId="35" r:id="rId12"/>
    <sheet name="DEMANDA" sheetId="31" r:id="rId13"/>
    <sheet name="Líneas" sheetId="33" r:id="rId14"/>
    <sheet name="Tráfico" sheetId="30" r:id="rId15"/>
  </sheets>
  <externalReferences>
    <externalReference r:id="rId16"/>
  </externalReferences>
  <definedNames>
    <definedName name="__f" hidden="1">{#N/A,#N/A,FALSE,"$170M Cash";#N/A,#N/A,FALSE,"$250M Cash";#N/A,#N/A,FALSE,"$325M Cash"}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localSheetId="7" hidden="1">#REF!</definedName>
    <definedName name="_14__123Graph_ACHART_12" hidden="1">#REF!</definedName>
    <definedName name="_16__123Graph_ACHART_13" localSheetId="7" hidden="1">#REF!</definedName>
    <definedName name="_16__123Graph_ACHART_13" hidden="1">#REF!</definedName>
    <definedName name="_18__123Graph_ACHART_14" localSheetId="7" hidden="1">#REF!</definedName>
    <definedName name="_18__123Graph_ACHART_14" hidden="1">#REF!</definedName>
    <definedName name="_20__123Graph_BCHART_12" localSheetId="7" hidden="1">#REF!</definedName>
    <definedName name="_20__123Graph_BCHART_12" hidden="1">#REF!</definedName>
    <definedName name="_22__123Graph_BCHART_13" localSheetId="7" hidden="1">#REF!</definedName>
    <definedName name="_22__123Graph_BCHART_13" hidden="1">#REF!</definedName>
    <definedName name="_24__123Graph_BCHART_14" localSheetId="7" hidden="1">#REF!</definedName>
    <definedName name="_24__123Graph_BCHART_14" hidden="1">#REF!</definedName>
    <definedName name="_26__123Graph_BCHART_5" localSheetId="7" hidden="1">[1]MEX95IB!#REF!</definedName>
    <definedName name="_26__123Graph_BCHART_5" hidden="1">[1]MEX95IB!#REF!</definedName>
    <definedName name="_28__123Graph_CCHART_12" localSheetId="7" hidden="1">#REF!</definedName>
    <definedName name="_28__123Graph_CCHART_12" hidden="1">#REF!</definedName>
    <definedName name="_30__123Graph_CCHART_13" localSheetId="7" hidden="1">#REF!</definedName>
    <definedName name="_30__123Graph_CCHART_13" hidden="1">#REF!</definedName>
    <definedName name="_32__123Graph_CCHART_14" localSheetId="7" hidden="1">#REF!</definedName>
    <definedName name="_32__123Graph_CCHART_14" hidden="1">#REF!</definedName>
    <definedName name="_34__123Graph_XCHART_12" localSheetId="7" hidden="1">#REF!</definedName>
    <definedName name="_34__123Graph_XCHART_12" hidden="1">#REF!</definedName>
    <definedName name="_36__123Graph_XCHART_13" localSheetId="7" hidden="1">#REF!</definedName>
    <definedName name="_36__123Graph_XCHART_13" hidden="1">#REF!</definedName>
    <definedName name="_38__123Graph_XCHART_14" localSheetId="7" hidden="1">#REF!</definedName>
    <definedName name="_38__123Graph_XCHART_14" hidden="1">#REF!</definedName>
    <definedName name="_f" hidden="1">{#N/A,#N/A,FALSE,"$170M Cash";#N/A,#N/A,FALSE,"$250M Cash";#N/A,#N/A,FALSE,"$325M Cash"}</definedName>
    <definedName name="_xlnm._FilterDatabase" localSheetId="13" hidden="1">Líneas!$A$58:$P$130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111" hidden="1">{#N/A,#N/A,FALSE,"Global by BU";#N/A,#N/A,FALSE,"U.S. by BU";#N/A,#N/A,FALSE,"Canada by BU";#N/A,#N/A,FALSE,"Europe by BU";#N/A,#N/A,FALSE,"Asia by BU";#N/A,#N/A,FALSE,"Cala by BU"}</definedName>
    <definedName name="a" hidden="1">{"'Apr-00'!$B$4:$AD$44"}</definedName>
    <definedName name="aa" hidden="1">{"'Apr-00'!$B$4:$AD$44"}</definedName>
    <definedName name="aaa" hidden="1">{"'Apr-00'!$B$4:$AD$44"}</definedName>
    <definedName name="ale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nscount" hidden="1">1</definedName>
    <definedName name="ANUALIZACION">Anualización!$A$1:$B$31</definedName>
    <definedName name="b" hidden="1">{"'Apr-00'!$B$4:$AD$44"}</definedName>
    <definedName name="Benchmark_HHI" hidden="1">{"'Directory'!$A$72:$E$91"}</definedName>
    <definedName name="CAPEX_IN">'C 9'!$G$11</definedName>
    <definedName name="d" hidden="1">{#N/A,#N/A,FALSE,"$170M Cash";#N/A,#N/A,FALSE,"$250M Cash";#N/A,#N/A,FALSE,"$325M Cash"}</definedName>
    <definedName name="DATOS_REPARTICION">Datos!$H$13</definedName>
    <definedName name="dga" hidden="1">{#N/A,#N/A,FALSE,"$170M Cash";#N/A,#N/A,FALSE,"$250M Cash";#N/A,#N/A,FALSE,"$325M Cash"}</definedName>
    <definedName name="Factores_Anualización">Anualización!$A$2:$B$31</definedName>
    <definedName name="HTML_CodePage" hidden="1">1252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hidden="1">{"'Edit'!$A$1:$V$2277"}</definedName>
    <definedName name="IQ_ADDIN" hidden="1">"AUTO"</definedName>
    <definedName name="jim" hidden="1">{"'Directory'!$A$72:$E$91"}</definedName>
    <definedName name="jj" hidden="1">{"'Apr-00'!$B$4:$AD$44"}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l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_PlaceofPath" hidden="1">"\\SNYCEQT0100\HOME\LZURLO\DATA\TELMEX\Models\tmx_vdf.xls"</definedName>
    <definedName name="na" hidden="1">{#N/A,#N/A,FALSE,"$170M Cash";#N/A,#N/A,FALSE,"$250M Cash";#N/A,#N/A,FALSE,"$325M Cash"}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n" hidden="1">{#N/A,#N/A,FALSE,"$170M Cash";#N/A,#N/A,FALSE,"$250M Cash";#N/A,#N/A,FALSE,"$325M Cash"}</definedName>
    <definedName name="OPEX_IN">'C 9'!$H$11</definedName>
    <definedName name="OVERHEAD">Datos!$H$11</definedName>
    <definedName name="PCT_INGRESOS">Datos!$H$14</definedName>
    <definedName name="pppp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int" hidden="1">{#N/A,#N/A,FALSE,"$170M Cash";#N/A,#N/A,FALSE,"$250M Cash";#N/A,#N/A,FALSE,"$325M Cash"}</definedName>
    <definedName name="q" hidden="1">{"'Edit'!$A$1:$V$2277"}</definedName>
    <definedName name="qqq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{#N/A,#N/A,FALSE,"Global by BU";#N/A,#N/A,FALSE,"U.S. by BU";#N/A,#N/A,FALSE,"Canada by BU";#N/A,#N/A,FALSE,"Europe by BU";#N/A,#N/A,FALSE,"Asia by BU";#N/A,#N/A,FALSE,"Cala by BU"}</definedName>
    <definedName name="sencount" hidden="1">1</definedName>
    <definedName name="t" hidden="1">{"'Apr-00'!$B$4:$AD$44"}</definedName>
    <definedName name="Test" hidden="1">{"'Edit'!$A$1:$V$2277"}</definedName>
    <definedName name="Traf_Plataforma">'C 8'!$C$13</definedName>
    <definedName name="Traf_Tarjetas">'C 8'!$C$14</definedName>
    <definedName name="VIDA_UTIL">Datos!$H$12</definedName>
    <definedName name="vv" hidden="1">{"'Apr-00'!$B$4:$AD$44"}</definedName>
    <definedName name="w" hidden="1">{"'Apr-00'!$B$4:$AD$44"}</definedName>
    <definedName name="WACC">Datos!$H$10</definedName>
    <definedName name="wrn.ANALISIS._.SENSIBILIDAD." localSheetId="1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forecast." localSheetId="11" hidden="1">{#N/A,#N/A,FALSE,"model"}</definedName>
    <definedName name="wrn.forecast." hidden="1">{#N/A,#N/A,FALSE,"model"}</definedName>
    <definedName name="wrn.forecast2" localSheetId="11" hidden="1">{#N/A,#N/A,FALSE,"model"}</definedName>
    <definedName name="wrn.forecast2" hidden="1">{#N/A,#N/A,FALSE,"model"}</definedName>
    <definedName name="wrn.forecastassumptions." localSheetId="11" hidden="1">{#N/A,#N/A,FALSE,"model"}</definedName>
    <definedName name="wrn.forecastassumptions." hidden="1">{#N/A,#N/A,FALSE,"model"}</definedName>
    <definedName name="wrn.forecastassumptions2" localSheetId="11" hidden="1">{#N/A,#N/A,FALSE,"model"}</definedName>
    <definedName name="wrn.forecastassumptions2" hidden="1">{#N/A,#N/A,FALSE,"model"}</definedName>
    <definedName name="wrn.forecastROIC." localSheetId="11" hidden="1">{#N/A,#N/A,FALSE,"model"}</definedName>
    <definedName name="wrn.forecastROIC." hidden="1">{#N/A,#N/A,FALSE,"model"}</definedName>
    <definedName name="wrn.forecastROIC2" localSheetId="11" hidden="1">{#N/A,#N/A,FALSE,"model"}</definedName>
    <definedName name="wrn.forecastROIC2" hidden="1">{#N/A,#N/A,FALSE,"model"}</definedName>
    <definedName name="wrn.history." localSheetId="11" hidden="1">{#N/A,#N/A,FALSE,"model"}</definedName>
    <definedName name="wrn.history." hidden="1">{#N/A,#N/A,FALSE,"model"}</definedName>
    <definedName name="wrn.history2" localSheetId="11" hidden="1">{#N/A,#N/A,FALSE,"model"}</definedName>
    <definedName name="wrn.history2" hidden="1">{#N/A,#N/A,FALSE,"model"}</definedName>
    <definedName name="wrn.histROIC." localSheetId="11" hidden="1">{#N/A,#N/A,FALSE,"model"}</definedName>
    <definedName name="wrn.histROIC." hidden="1">{#N/A,#N/A,FALSE,"model"}</definedName>
    <definedName name="wrn.histROIC2" localSheetId="11" hidden="1">{#N/A,#N/A,FALSE,"model"}</definedName>
    <definedName name="wrn.histROIC2" hidden="1">{#N/A,#N/A,FALSE,"model"}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._.Report._.Package." hidden="1">{#N/A,#N/A,FALSE,"Global Wls Trend";#N/A,#N/A,FALSE,"Region Trend";#N/A,#N/A,FALSE,"PBU Trend"}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hidden="1">{#N/A,#N/A,FALSE,"$170M Cash";#N/A,#N/A,FALSE,"$250M Cash";#N/A,#N/A,FALSE,"$325M Cash"}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localSheetId="11" hidden="1">{#N/A,#N/A,FALSE,"model"}</definedName>
    <definedName name="wrn1.history" hidden="1">{#N/A,#N/A,FALSE,"model"}</definedName>
    <definedName name="wrn1.print._.all." hidden="1">{#N/A,#N/A,FALSE,"$170M Cash";#N/A,#N/A,FALSE,"$250M Cash";#N/A,#N/A,FALSE,"$325M Cash"}</definedName>
    <definedName name="wrn3.histroic" localSheetId="11" hidden="1">{#N/A,#N/A,FALSE,"model"}</definedName>
    <definedName name="wrn3.histroic" hidden="1">{#N/A,#N/A,FALSE,"model"}</definedName>
    <definedName name="wrt" hidden="1">{#N/A,#N/A,FALSE,"$170M Cash";#N/A,#N/A,FALSE,"$250M Cash";#N/A,#N/A,FALSE,"$325M Cash"}</definedName>
    <definedName name="xo" hidden="1">{#N/A,#N/A,FALSE,"Global by BU";#N/A,#N/A,FALSE,"U.S. by BU";#N/A,#N/A,FALSE,"Canada by BU";#N/A,#N/A,FALSE,"Europe by BU";#N/A,#N/A,FALSE,"Asia by BU";#N/A,#N/A,FALSE,"Cala by BU"}</definedName>
    <definedName name="xxx" localSheetId="11" hidden="1">{#N/A,#N/A,FALSE,"model"}</definedName>
    <definedName name="xxx" hidden="1">{#N/A,#N/A,FALSE,"model"}</definedName>
  </definedNames>
  <calcPr calcId="125725"/>
</workbook>
</file>

<file path=xl/calcChain.xml><?xml version="1.0" encoding="utf-8"?>
<calcChain xmlns="http://schemas.openxmlformats.org/spreadsheetml/2006/main">
  <c r="N46" i="31"/>
  <c r="M46"/>
  <c r="L46"/>
  <c r="K46"/>
  <c r="J46"/>
  <c r="I46"/>
  <c r="H46"/>
  <c r="G46"/>
  <c r="F46"/>
  <c r="E46"/>
  <c r="D46"/>
  <c r="N45"/>
  <c r="M45"/>
  <c r="L45"/>
  <c r="K45"/>
  <c r="J45"/>
  <c r="I45"/>
  <c r="H45"/>
  <c r="G45"/>
  <c r="F45"/>
  <c r="E45"/>
  <c r="D45"/>
  <c r="N44"/>
  <c r="M44"/>
  <c r="L44"/>
  <c r="K44"/>
  <c r="J44"/>
  <c r="I44"/>
  <c r="H44"/>
  <c r="G44"/>
  <c r="F44"/>
  <c r="E44"/>
  <c r="D44"/>
  <c r="N43"/>
  <c r="M43"/>
  <c r="L43"/>
  <c r="K43"/>
  <c r="J43"/>
  <c r="I43"/>
  <c r="H43"/>
  <c r="G43"/>
  <c r="F43"/>
  <c r="E43"/>
  <c r="D43"/>
  <c r="C46"/>
  <c r="C45"/>
  <c r="C44"/>
  <c r="C43"/>
  <c r="I386" i="39"/>
  <c r="G6"/>
  <c r="G5"/>
  <c r="I4" s="1"/>
  <c r="J4" s="1"/>
  <c r="G4"/>
  <c r="B7"/>
  <c r="I5" l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C47" i="31" l="1"/>
  <c r="D47"/>
  <c r="D57" s="1"/>
  <c r="E47"/>
  <c r="E57" s="1"/>
  <c r="F47"/>
  <c r="F57" s="1"/>
  <c r="G47"/>
  <c r="G57" s="1"/>
  <c r="H47"/>
  <c r="H57" s="1"/>
  <c r="I47"/>
  <c r="I57" s="1"/>
  <c r="J47"/>
  <c r="J57" s="1"/>
  <c r="K47"/>
  <c r="K57" s="1"/>
  <c r="L47"/>
  <c r="L57" s="1"/>
  <c r="M47"/>
  <c r="M57" s="1"/>
  <c r="N47"/>
  <c r="N57" s="1"/>
  <c r="C163" i="33"/>
  <c r="I31" i="31"/>
  <c r="F67" s="1"/>
  <c r="D145"/>
  <c r="E145" s="1"/>
  <c r="F145" s="1"/>
  <c r="G145" s="1"/>
  <c r="H145" s="1"/>
  <c r="I145" s="1"/>
  <c r="J145" s="1"/>
  <c r="K145" s="1"/>
  <c r="L145" s="1"/>
  <c r="M145" s="1"/>
  <c r="N145" s="1"/>
  <c r="D156"/>
  <c r="E156" s="1"/>
  <c r="F156" s="1"/>
  <c r="G156" s="1"/>
  <c r="H156" s="1"/>
  <c r="I156" s="1"/>
  <c r="J156" s="1"/>
  <c r="K156" s="1"/>
  <c r="L156" s="1"/>
  <c r="M156" s="1"/>
  <c r="N156" s="1"/>
  <c r="D167"/>
  <c r="E167" s="1"/>
  <c r="F167" s="1"/>
  <c r="G167" s="1"/>
  <c r="H167" s="1"/>
  <c r="I167" s="1"/>
  <c r="J167" s="1"/>
  <c r="K167" s="1"/>
  <c r="L167" s="1"/>
  <c r="M167" s="1"/>
  <c r="N167" s="1"/>
  <c r="J5" i="39"/>
  <c r="J6"/>
  <c r="J7"/>
  <c r="J8"/>
  <c r="J22"/>
  <c r="J107"/>
  <c r="C33" i="7"/>
  <c r="C34" i="31" l="1"/>
  <c r="C57"/>
  <c r="J9" i="39" l="1"/>
  <c r="J10" l="1"/>
  <c r="J11" l="1"/>
  <c r="J12" l="1"/>
  <c r="J13" l="1"/>
  <c r="J14" l="1"/>
  <c r="J15" l="1"/>
  <c r="J16" l="1"/>
  <c r="J17" l="1"/>
  <c r="J18" l="1"/>
  <c r="J19" l="1"/>
  <c r="J20" l="1"/>
  <c r="J21" l="1"/>
  <c r="J23" l="1"/>
  <c r="J24" l="1"/>
  <c r="J25" l="1"/>
  <c r="J26" l="1"/>
  <c r="J27" l="1"/>
  <c r="J28" l="1"/>
  <c r="J29" l="1"/>
  <c r="J30" l="1"/>
  <c r="J31" l="1"/>
  <c r="J32" l="1"/>
  <c r="J33" l="1"/>
  <c r="J34" l="1"/>
  <c r="J35" l="1"/>
  <c r="J36" l="1"/>
  <c r="J37" l="1"/>
  <c r="J38" l="1"/>
  <c r="J39" l="1"/>
  <c r="J40" l="1"/>
  <c r="J41" l="1"/>
  <c r="J42" l="1"/>
  <c r="J43" l="1"/>
  <c r="J44" l="1"/>
  <c r="J45" l="1"/>
  <c r="J46" l="1"/>
  <c r="J47" l="1"/>
  <c r="J48" l="1"/>
  <c r="J49" l="1"/>
  <c r="J50" l="1"/>
  <c r="J51" l="1"/>
  <c r="J52" l="1"/>
  <c r="J53" l="1"/>
  <c r="J54" l="1"/>
  <c r="J55" l="1"/>
  <c r="J56" l="1"/>
  <c r="J57" l="1"/>
  <c r="J58" l="1"/>
  <c r="J59" l="1"/>
  <c r="J60" l="1"/>
  <c r="J61" l="1"/>
  <c r="J62" l="1"/>
  <c r="J63" l="1"/>
  <c r="J64" l="1"/>
  <c r="J65" l="1"/>
  <c r="J66" l="1"/>
  <c r="J67" l="1"/>
  <c r="J68" l="1"/>
  <c r="J69" l="1"/>
  <c r="J70" l="1"/>
  <c r="J71" l="1"/>
  <c r="J72" l="1"/>
  <c r="J73" l="1"/>
  <c r="J74" l="1"/>
  <c r="J75" l="1"/>
  <c r="J76" l="1"/>
  <c r="J77" l="1"/>
  <c r="J78" l="1"/>
  <c r="J79" l="1"/>
  <c r="J80" l="1"/>
  <c r="J81" l="1"/>
  <c r="J82" l="1"/>
  <c r="J83" l="1"/>
  <c r="J84" l="1"/>
  <c r="J85" l="1"/>
  <c r="J86" l="1"/>
  <c r="J87" l="1"/>
  <c r="J88" l="1"/>
  <c r="J89" l="1"/>
  <c r="J90" l="1"/>
  <c r="J91" l="1"/>
  <c r="J92" l="1"/>
  <c r="J93" l="1"/>
  <c r="J94" l="1"/>
  <c r="J95" l="1"/>
  <c r="J96" l="1"/>
  <c r="J97" l="1"/>
  <c r="J98" l="1"/>
  <c r="J99" l="1"/>
  <c r="J100" l="1"/>
  <c r="J101" l="1"/>
  <c r="J102" l="1"/>
  <c r="J103" l="1"/>
  <c r="J104" l="1"/>
  <c r="J105" l="1"/>
  <c r="J106" l="1"/>
  <c r="J108" l="1"/>
  <c r="J109" l="1"/>
  <c r="J110" l="1"/>
  <c r="J111" l="1"/>
  <c r="J112" l="1"/>
  <c r="J113" l="1"/>
  <c r="J114" l="1"/>
  <c r="J115" l="1"/>
  <c r="J116" l="1"/>
  <c r="J117" l="1"/>
  <c r="J118" l="1"/>
  <c r="J119" l="1"/>
  <c r="J120" l="1"/>
  <c r="J121" l="1"/>
  <c r="J122" l="1"/>
  <c r="J123" l="1"/>
  <c r="J124" l="1"/>
  <c r="J125" l="1"/>
  <c r="J126" l="1"/>
  <c r="J127" l="1"/>
  <c r="J128" l="1"/>
  <c r="J129" l="1"/>
  <c r="J130" l="1"/>
  <c r="J131" l="1"/>
  <c r="J132" l="1"/>
  <c r="J133" l="1"/>
  <c r="J134" l="1"/>
  <c r="J135" l="1"/>
  <c r="J136" l="1"/>
  <c r="J137" l="1"/>
  <c r="J138" l="1"/>
  <c r="J139" l="1"/>
  <c r="J140" l="1"/>
  <c r="J141" l="1"/>
  <c r="J142" l="1"/>
  <c r="J143" l="1"/>
  <c r="J144" l="1"/>
  <c r="J145" l="1"/>
  <c r="J146" l="1"/>
  <c r="J147" l="1"/>
  <c r="J148" l="1"/>
  <c r="J149" l="1"/>
  <c r="J150" l="1"/>
  <c r="J151" l="1"/>
  <c r="J152" l="1"/>
  <c r="J153" l="1"/>
  <c r="J154" l="1"/>
  <c r="J155" l="1"/>
  <c r="J156" l="1"/>
  <c r="J157" l="1"/>
  <c r="J158" l="1"/>
  <c r="J159" l="1"/>
  <c r="J160" l="1"/>
  <c r="J161" l="1"/>
  <c r="J162" l="1"/>
  <c r="J163" l="1"/>
  <c r="J164" l="1"/>
  <c r="J165" l="1"/>
  <c r="J166" l="1"/>
  <c r="J167" l="1"/>
  <c r="J168" l="1"/>
  <c r="J169" l="1"/>
  <c r="J170" l="1"/>
  <c r="J171" l="1"/>
  <c r="J172" l="1"/>
  <c r="J173" l="1"/>
  <c r="J174" l="1"/>
  <c r="J175" l="1"/>
  <c r="J176" l="1"/>
  <c r="J177" l="1"/>
  <c r="J178" l="1"/>
  <c r="J179" l="1"/>
  <c r="J180" l="1"/>
  <c r="J181" l="1"/>
  <c r="J182" l="1"/>
  <c r="J183" l="1"/>
  <c r="J184" l="1"/>
  <c r="J185" l="1"/>
  <c r="J186" l="1"/>
  <c r="J187" l="1"/>
  <c r="J188" l="1"/>
  <c r="J189" l="1"/>
  <c r="J190" l="1"/>
  <c r="J191" l="1"/>
  <c r="J192" l="1"/>
  <c r="J193" l="1"/>
  <c r="J194" l="1"/>
  <c r="J195" l="1"/>
  <c r="J196" l="1"/>
  <c r="J197" l="1"/>
  <c r="J198" l="1"/>
  <c r="J199" l="1"/>
  <c r="J200" l="1"/>
  <c r="J201" l="1"/>
  <c r="J202" l="1"/>
  <c r="J203" l="1"/>
  <c r="J204" l="1"/>
  <c r="J205" l="1"/>
  <c r="J206" l="1"/>
  <c r="J207" l="1"/>
  <c r="J208" l="1"/>
  <c r="J209" l="1"/>
  <c r="J210" l="1"/>
  <c r="J211" l="1"/>
  <c r="J212" l="1"/>
  <c r="J213" l="1"/>
  <c r="J214" l="1"/>
  <c r="J215" l="1"/>
  <c r="J216" l="1"/>
  <c r="J217" l="1"/>
  <c r="J218" l="1"/>
  <c r="J219" l="1"/>
  <c r="J220" l="1"/>
  <c r="J221" l="1"/>
  <c r="J222" l="1"/>
  <c r="J223" l="1"/>
  <c r="J224" l="1"/>
  <c r="J225" l="1"/>
  <c r="J226" l="1"/>
  <c r="J227" l="1"/>
  <c r="J228" l="1"/>
  <c r="J229" l="1"/>
  <c r="J230" l="1"/>
  <c r="J231" l="1"/>
  <c r="J232" l="1"/>
  <c r="J233" l="1"/>
  <c r="J234" l="1"/>
  <c r="J235" l="1"/>
  <c r="J236" l="1"/>
  <c r="J237" l="1"/>
  <c r="J238" l="1"/>
  <c r="J239" l="1"/>
  <c r="J240" l="1"/>
  <c r="J241" l="1"/>
  <c r="J242" l="1"/>
  <c r="J243" l="1"/>
  <c r="J244" l="1"/>
  <c r="J245" l="1"/>
  <c r="J246" l="1"/>
  <c r="J247" l="1"/>
  <c r="J248" l="1"/>
  <c r="J249" l="1"/>
  <c r="J250" l="1"/>
  <c r="J251" l="1"/>
  <c r="J252" l="1"/>
  <c r="J253" l="1"/>
  <c r="J254" l="1"/>
  <c r="J255" l="1"/>
  <c r="J256" l="1"/>
  <c r="J257" l="1"/>
  <c r="J258" l="1"/>
  <c r="J259" l="1"/>
  <c r="J260" l="1"/>
  <c r="J261" l="1"/>
  <c r="J262" l="1"/>
  <c r="J263" l="1"/>
  <c r="J264" l="1"/>
  <c r="J265" l="1"/>
  <c r="J266" l="1"/>
  <c r="J267" l="1"/>
  <c r="J268" l="1"/>
  <c r="J269" l="1"/>
  <c r="J270" l="1"/>
  <c r="J271" l="1"/>
  <c r="J272" l="1"/>
  <c r="J273" l="1"/>
  <c r="J274" l="1"/>
  <c r="J275" l="1"/>
  <c r="J276" l="1"/>
  <c r="J277" l="1"/>
  <c r="J278" l="1"/>
  <c r="J279" l="1"/>
  <c r="J280" l="1"/>
  <c r="J281" l="1"/>
  <c r="J282" l="1"/>
  <c r="J283" l="1"/>
  <c r="J284" l="1"/>
  <c r="J285" l="1"/>
  <c r="J286" l="1"/>
  <c r="J287" l="1"/>
  <c r="J288" l="1"/>
  <c r="J289" l="1"/>
  <c r="J290" l="1"/>
  <c r="J291" l="1"/>
  <c r="J292" l="1"/>
  <c r="J293" l="1"/>
  <c r="J294" l="1"/>
  <c r="J295" l="1"/>
  <c r="J296" l="1"/>
  <c r="J297" l="1"/>
  <c r="J298" l="1"/>
  <c r="J299" l="1"/>
  <c r="J300" l="1"/>
  <c r="J301" l="1"/>
  <c r="J302" l="1"/>
  <c r="J303" l="1"/>
  <c r="J304" l="1"/>
  <c r="J305" l="1"/>
  <c r="J306" l="1"/>
  <c r="J307" l="1"/>
  <c r="J308" l="1"/>
  <c r="J309" l="1"/>
  <c r="J310" l="1"/>
  <c r="J311" l="1"/>
  <c r="J312" l="1"/>
  <c r="J313" l="1"/>
  <c r="J314" l="1"/>
  <c r="J315" l="1"/>
  <c r="J316" l="1"/>
  <c r="J317" l="1"/>
  <c r="J318" l="1"/>
  <c r="J319" l="1"/>
  <c r="J320" l="1"/>
  <c r="J321" l="1"/>
  <c r="J322" l="1"/>
  <c r="J323" l="1"/>
  <c r="J324" l="1"/>
  <c r="J325" l="1"/>
  <c r="J326" l="1"/>
  <c r="J327" l="1"/>
  <c r="J328" l="1"/>
  <c r="J329" l="1"/>
  <c r="J330" l="1"/>
  <c r="J331" l="1"/>
  <c r="J332" l="1"/>
  <c r="J333" l="1"/>
  <c r="J334" l="1"/>
  <c r="J335" l="1"/>
  <c r="J336" l="1"/>
  <c r="J337" l="1"/>
  <c r="J338" l="1"/>
  <c r="J339" l="1"/>
  <c r="J340" l="1"/>
  <c r="J341" l="1"/>
  <c r="J342" l="1"/>
  <c r="J343" l="1"/>
  <c r="J344" l="1"/>
  <c r="J345" l="1"/>
  <c r="J346" l="1"/>
  <c r="J347" l="1"/>
  <c r="J348" l="1"/>
  <c r="J349" l="1"/>
  <c r="J350" l="1"/>
  <c r="J351" l="1"/>
  <c r="J352" l="1"/>
  <c r="J353" l="1"/>
  <c r="J354" l="1"/>
  <c r="J355" l="1"/>
  <c r="J356" l="1"/>
  <c r="J357" l="1"/>
  <c r="J358" l="1"/>
  <c r="J359" l="1"/>
  <c r="J360" l="1"/>
  <c r="J361" l="1"/>
  <c r="J362" l="1"/>
  <c r="J363" l="1"/>
  <c r="J364" l="1"/>
  <c r="J365" l="1"/>
  <c r="J366" l="1"/>
  <c r="J367" l="1"/>
  <c r="J368" l="1"/>
  <c r="J369" l="1"/>
  <c r="J370" l="1"/>
  <c r="J371" l="1"/>
  <c r="J372" l="1"/>
  <c r="J373" l="1"/>
  <c r="J374" l="1"/>
  <c r="J375" l="1"/>
  <c r="J376" l="1"/>
  <c r="J377" l="1"/>
  <c r="J378" l="1"/>
  <c r="J379" l="1"/>
  <c r="J380" l="1"/>
  <c r="J381" l="1"/>
  <c r="J382" l="1"/>
  <c r="J383" l="1"/>
  <c r="J384" l="1"/>
  <c r="J385" l="1"/>
  <c r="J386"/>
  <c r="F6" i="3" l="1"/>
  <c r="F5"/>
  <c r="F4"/>
  <c r="C28" l="1"/>
  <c r="C26"/>
  <c r="C27"/>
  <c r="C7" i="39"/>
  <c r="D17" i="7" s="1"/>
  <c r="D18" s="1"/>
  <c r="D19" i="36" l="1"/>
  <c r="D21" l="1"/>
  <c r="C8" i="7" l="1"/>
  <c r="G23" i="35" l="1"/>
  <c r="H23" l="1"/>
  <c r="I23"/>
  <c r="F24"/>
  <c r="G24" s="1"/>
  <c r="J24" s="1"/>
  <c r="J23"/>
  <c r="K23" l="1"/>
  <c r="H24"/>
  <c r="I24"/>
  <c r="K24" l="1"/>
  <c r="N55" i="31"/>
  <c r="M55"/>
  <c r="L55"/>
  <c r="K55"/>
  <c r="J55"/>
  <c r="I55"/>
  <c r="H55"/>
  <c r="G55"/>
  <c r="F55"/>
  <c r="E55"/>
  <c r="D55"/>
  <c r="C55"/>
  <c r="D122" l="1"/>
  <c r="D116"/>
  <c r="D95"/>
  <c r="E95" s="1"/>
  <c r="D89"/>
  <c r="D51"/>
  <c r="D5"/>
  <c r="E5" s="1"/>
  <c r="F34" l="1"/>
  <c r="E116"/>
  <c r="F116" s="1"/>
  <c r="E51"/>
  <c r="F51" s="1"/>
  <c r="G51" s="1"/>
  <c r="E89"/>
  <c r="F89" s="1"/>
  <c r="O91"/>
  <c r="O118"/>
  <c r="E122"/>
  <c r="F122" s="1"/>
  <c r="B138" i="33"/>
  <c r="A138" s="1"/>
  <c r="F5" i="31"/>
  <c r="G89"/>
  <c r="F95"/>
  <c r="G116"/>
  <c r="B159" i="33"/>
  <c r="A159" s="1"/>
  <c r="B129"/>
  <c r="A129" s="1"/>
  <c r="B142"/>
  <c r="A142" s="1"/>
  <c r="B112"/>
  <c r="A112" s="1"/>
  <c r="B146"/>
  <c r="A146" s="1"/>
  <c r="B116"/>
  <c r="A116" s="1"/>
  <c r="B150"/>
  <c r="A150" s="1"/>
  <c r="B120"/>
  <c r="A120" s="1"/>
  <c r="B154"/>
  <c r="A154" s="1"/>
  <c r="B124"/>
  <c r="A124" s="1"/>
  <c r="B158"/>
  <c r="A158" s="1"/>
  <c r="B128"/>
  <c r="A128" s="1"/>
  <c r="B81"/>
  <c r="A81" s="1"/>
  <c r="B105"/>
  <c r="A105" s="1"/>
  <c r="B140"/>
  <c r="A140" s="1"/>
  <c r="B110"/>
  <c r="A110" s="1"/>
  <c r="B144"/>
  <c r="A144" s="1"/>
  <c r="B114"/>
  <c r="A114" s="1"/>
  <c r="B148"/>
  <c r="A148" s="1"/>
  <c r="B118"/>
  <c r="A118" s="1"/>
  <c r="B152"/>
  <c r="A152" s="1"/>
  <c r="B122"/>
  <c r="A122" s="1"/>
  <c r="B156"/>
  <c r="A156" s="1"/>
  <c r="B126"/>
  <c r="A126" s="1"/>
  <c r="B160"/>
  <c r="A160" s="1"/>
  <c r="B130"/>
  <c r="A130" s="1"/>
  <c r="B60"/>
  <c r="A60" s="1"/>
  <c r="B62"/>
  <c r="A62" s="1"/>
  <c r="B64"/>
  <c r="A64" s="1"/>
  <c r="B66"/>
  <c r="A66" s="1"/>
  <c r="B68"/>
  <c r="A68" s="1"/>
  <c r="B70"/>
  <c r="A70" s="1"/>
  <c r="B72"/>
  <c r="A72" s="1"/>
  <c r="B74"/>
  <c r="A74" s="1"/>
  <c r="B76"/>
  <c r="A76" s="1"/>
  <c r="B78"/>
  <c r="A78" s="1"/>
  <c r="B80"/>
  <c r="A80" s="1"/>
  <c r="B82"/>
  <c r="A82" s="1"/>
  <c r="B84"/>
  <c r="A84" s="1"/>
  <c r="B86"/>
  <c r="A86" s="1"/>
  <c r="B88"/>
  <c r="A88" s="1"/>
  <c r="B90"/>
  <c r="A90" s="1"/>
  <c r="B92"/>
  <c r="A92" s="1"/>
  <c r="B94"/>
  <c r="A94" s="1"/>
  <c r="B96"/>
  <c r="A96" s="1"/>
  <c r="B98"/>
  <c r="A98" s="1"/>
  <c r="B100"/>
  <c r="A100" s="1"/>
  <c r="B102"/>
  <c r="A102" s="1"/>
  <c r="B104"/>
  <c r="A104" s="1"/>
  <c r="B106"/>
  <c r="A106" s="1"/>
  <c r="B108"/>
  <c r="A108" s="1"/>
  <c r="B155" l="1"/>
  <c r="A155" s="1"/>
  <c r="B125"/>
  <c r="A125" s="1"/>
  <c r="B101"/>
  <c r="A101" s="1"/>
  <c r="B77"/>
  <c r="A77" s="1"/>
  <c r="B143"/>
  <c r="A143" s="1"/>
  <c r="B113"/>
  <c r="A113" s="1"/>
  <c r="B89"/>
  <c r="A89" s="1"/>
  <c r="B65"/>
  <c r="A65" s="1"/>
  <c r="G122" i="31"/>
  <c r="H116"/>
  <c r="G95"/>
  <c r="H89"/>
  <c r="H51"/>
  <c r="B151" i="33"/>
  <c r="A151" s="1"/>
  <c r="B121"/>
  <c r="A121" s="1"/>
  <c r="B97"/>
  <c r="A97" s="1"/>
  <c r="B73"/>
  <c r="A73" s="1"/>
  <c r="B147"/>
  <c r="A147" s="1"/>
  <c r="B117"/>
  <c r="A117" s="1"/>
  <c r="B93"/>
  <c r="A93" s="1"/>
  <c r="B69"/>
  <c r="A69" s="1"/>
  <c r="B139"/>
  <c r="A139" s="1"/>
  <c r="B109"/>
  <c r="A109" s="1"/>
  <c r="B85"/>
  <c r="A85" s="1"/>
  <c r="B61"/>
  <c r="A61" s="1"/>
  <c r="B157"/>
  <c r="A157" s="1"/>
  <c r="B127"/>
  <c r="A127" s="1"/>
  <c r="B103"/>
  <c r="A103" s="1"/>
  <c r="B79"/>
  <c r="A79" s="1"/>
  <c r="B153"/>
  <c r="A153" s="1"/>
  <c r="B123"/>
  <c r="A123" s="1"/>
  <c r="B99"/>
  <c r="A99" s="1"/>
  <c r="B75"/>
  <c r="A75" s="1"/>
  <c r="B149"/>
  <c r="A149" s="1"/>
  <c r="B119"/>
  <c r="A119" s="1"/>
  <c r="B95"/>
  <c r="A95" s="1"/>
  <c r="B71"/>
  <c r="A71" s="1"/>
  <c r="B145"/>
  <c r="A145" s="1"/>
  <c r="B115"/>
  <c r="A115" s="1"/>
  <c r="B91"/>
  <c r="A91" s="1"/>
  <c r="B67"/>
  <c r="A67" s="1"/>
  <c r="B141"/>
  <c r="A141" s="1"/>
  <c r="B111"/>
  <c r="A111" s="1"/>
  <c r="B87"/>
  <c r="A87" s="1"/>
  <c r="B63"/>
  <c r="A63" s="1"/>
  <c r="B137"/>
  <c r="A137" s="1"/>
  <c r="B107"/>
  <c r="A107" s="1"/>
  <c r="B83"/>
  <c r="A83" s="1"/>
  <c r="B59"/>
  <c r="A59" s="1"/>
  <c r="G5" i="31"/>
  <c r="M23" i="33" l="1"/>
  <c r="K23"/>
  <c r="I23"/>
  <c r="G23"/>
  <c r="E23"/>
  <c r="C23"/>
  <c r="M21"/>
  <c r="K21"/>
  <c r="I21"/>
  <c r="G21"/>
  <c r="E21"/>
  <c r="C21"/>
  <c r="M15"/>
  <c r="K15"/>
  <c r="I15"/>
  <c r="G15"/>
  <c r="E15"/>
  <c r="C15"/>
  <c r="M14"/>
  <c r="K14"/>
  <c r="I14"/>
  <c r="G14"/>
  <c r="E14"/>
  <c r="C14"/>
  <c r="M13"/>
  <c r="K13"/>
  <c r="I13"/>
  <c r="G13"/>
  <c r="E13"/>
  <c r="C13"/>
  <c r="M7"/>
  <c r="I7"/>
  <c r="G7"/>
  <c r="C7"/>
  <c r="M5"/>
  <c r="M7" i="31" s="1"/>
  <c r="I5" i="33"/>
  <c r="E5"/>
  <c r="E7" i="31" s="1"/>
  <c r="N23" i="33"/>
  <c r="L23"/>
  <c r="J23"/>
  <c r="H23"/>
  <c r="F23"/>
  <c r="D23"/>
  <c r="N21"/>
  <c r="L21"/>
  <c r="J21"/>
  <c r="H21"/>
  <c r="F21"/>
  <c r="D21"/>
  <c r="N15"/>
  <c r="L15"/>
  <c r="J15"/>
  <c r="H15"/>
  <c r="F15"/>
  <c r="D15"/>
  <c r="N14"/>
  <c r="N159" i="31" s="1"/>
  <c r="L14" i="33"/>
  <c r="J14"/>
  <c r="H14"/>
  <c r="H159" i="31" s="1"/>
  <c r="F14" i="33"/>
  <c r="F159" i="31" s="1"/>
  <c r="D14" i="33"/>
  <c r="N13"/>
  <c r="L13"/>
  <c r="J13"/>
  <c r="H13"/>
  <c r="F13"/>
  <c r="F158" i="31" s="1"/>
  <c r="D13" i="33"/>
  <c r="D158" i="31" s="1"/>
  <c r="N7" i="33"/>
  <c r="L7"/>
  <c r="J7"/>
  <c r="H7"/>
  <c r="F7"/>
  <c r="D7"/>
  <c r="N5"/>
  <c r="N7" i="31" s="1"/>
  <c r="L5" i="33"/>
  <c r="L7" i="31" s="1"/>
  <c r="J5" i="33"/>
  <c r="J7" i="31" s="1"/>
  <c r="H5" i="33"/>
  <c r="H7" i="31" s="1"/>
  <c r="F5" i="33"/>
  <c r="F7" i="31" s="1"/>
  <c r="D5" i="33"/>
  <c r="D7" i="31" s="1"/>
  <c r="K7" i="33"/>
  <c r="E7"/>
  <c r="K5"/>
  <c r="K7" i="31" s="1"/>
  <c r="G5" i="33"/>
  <c r="G7" i="31" s="1"/>
  <c r="C5" i="33"/>
  <c r="C7" i="31" s="1"/>
  <c r="M24" i="33"/>
  <c r="K24"/>
  <c r="I24"/>
  <c r="G24"/>
  <c r="G171" i="31" s="1"/>
  <c r="E24" i="33"/>
  <c r="C24"/>
  <c r="C171" i="31" s="1"/>
  <c r="M16" i="33"/>
  <c r="K16"/>
  <c r="K160" i="31" s="1"/>
  <c r="I16" i="33"/>
  <c r="G16"/>
  <c r="G160" i="31" s="1"/>
  <c r="E16" i="33"/>
  <c r="C16"/>
  <c r="C160" i="31" s="1"/>
  <c r="M8" i="33"/>
  <c r="M10" i="31" s="1"/>
  <c r="K8" i="33"/>
  <c r="K10" i="31" s="1"/>
  <c r="I8" i="33"/>
  <c r="I10" i="31" s="1"/>
  <c r="G8" i="33"/>
  <c r="G10" i="31" s="1"/>
  <c r="E8" i="33"/>
  <c r="E10" i="31" s="1"/>
  <c r="N24" i="33"/>
  <c r="N171" i="31" s="1"/>
  <c r="L24" i="33"/>
  <c r="J24"/>
  <c r="J171" i="31" s="1"/>
  <c r="H24" i="33"/>
  <c r="F24"/>
  <c r="D24"/>
  <c r="N16"/>
  <c r="N160" i="31" s="1"/>
  <c r="L16" i="33"/>
  <c r="J16"/>
  <c r="H16"/>
  <c r="F16"/>
  <c r="F160" i="31" s="1"/>
  <c r="D16" i="33"/>
  <c r="N8"/>
  <c r="N10" i="31" s="1"/>
  <c r="L8" i="33"/>
  <c r="L10" i="31" s="1"/>
  <c r="J8" i="33"/>
  <c r="J10" i="31" s="1"/>
  <c r="H8" i="33"/>
  <c r="H10" i="31" s="1"/>
  <c r="F8" i="33"/>
  <c r="F10" i="31" s="1"/>
  <c r="D8" i="33"/>
  <c r="D10" i="31" s="1"/>
  <c r="C8" i="33"/>
  <c r="C10" i="31" s="1"/>
  <c r="H5"/>
  <c r="K171"/>
  <c r="M171"/>
  <c r="I171"/>
  <c r="E171"/>
  <c r="M160"/>
  <c r="J160"/>
  <c r="F171"/>
  <c r="E160"/>
  <c r="H171"/>
  <c r="D160"/>
  <c r="H160"/>
  <c r="L160"/>
  <c r="I160"/>
  <c r="D171"/>
  <c r="L171"/>
  <c r="L169"/>
  <c r="H169"/>
  <c r="D169"/>
  <c r="M158"/>
  <c r="K158"/>
  <c r="I158"/>
  <c r="G158"/>
  <c r="E158"/>
  <c r="C158"/>
  <c r="J159"/>
  <c r="K169"/>
  <c r="G169"/>
  <c r="C169"/>
  <c r="J158"/>
  <c r="C159"/>
  <c r="G159"/>
  <c r="K159"/>
  <c r="J169"/>
  <c r="L158"/>
  <c r="I159"/>
  <c r="N169"/>
  <c r="M159"/>
  <c r="D159"/>
  <c r="L159"/>
  <c r="M169"/>
  <c r="I169"/>
  <c r="E169"/>
  <c r="H158"/>
  <c r="E159"/>
  <c r="F169"/>
  <c r="I51"/>
  <c r="I89"/>
  <c r="H95"/>
  <c r="I116"/>
  <c r="H122"/>
  <c r="I7" l="1"/>
  <c r="H161"/>
  <c r="H162"/>
  <c r="D161"/>
  <c r="D162"/>
  <c r="F162"/>
  <c r="F161"/>
  <c r="C161"/>
  <c r="C162"/>
  <c r="G161"/>
  <c r="G162"/>
  <c r="K162"/>
  <c r="K161"/>
  <c r="N17" i="33"/>
  <c r="N158" i="31"/>
  <c r="L161"/>
  <c r="L162"/>
  <c r="J162"/>
  <c r="J161"/>
  <c r="E161"/>
  <c r="E162"/>
  <c r="I162"/>
  <c r="I161"/>
  <c r="M161"/>
  <c r="M162"/>
  <c r="D147"/>
  <c r="N147"/>
  <c r="H147"/>
  <c r="J147"/>
  <c r="C147"/>
  <c r="G147"/>
  <c r="K147"/>
  <c r="H149"/>
  <c r="E149"/>
  <c r="K149"/>
  <c r="C149"/>
  <c r="J149"/>
  <c r="L147"/>
  <c r="F147"/>
  <c r="E147"/>
  <c r="I147"/>
  <c r="M147"/>
  <c r="I149"/>
  <c r="L149"/>
  <c r="D149"/>
  <c r="G149"/>
  <c r="N149"/>
  <c r="F149"/>
  <c r="M149"/>
  <c r="J17" i="33"/>
  <c r="L17"/>
  <c r="E17"/>
  <c r="I17"/>
  <c r="M17"/>
  <c r="I122" i="31"/>
  <c r="J116"/>
  <c r="I95"/>
  <c r="J89"/>
  <c r="J51"/>
  <c r="D17" i="33"/>
  <c r="C17"/>
  <c r="I5" i="31"/>
  <c r="H17" i="33"/>
  <c r="F17"/>
  <c r="G17"/>
  <c r="K17"/>
  <c r="D12" i="30"/>
  <c r="C12"/>
  <c r="B12"/>
  <c r="D9"/>
  <c r="D15" s="1"/>
  <c r="D32" s="1"/>
  <c r="C9"/>
  <c r="B9"/>
  <c r="B15" s="1"/>
  <c r="F7" i="8"/>
  <c r="N60" i="30"/>
  <c r="F6" i="8" s="1"/>
  <c r="B31" i="30"/>
  <c r="C31"/>
  <c r="D31"/>
  <c r="E31"/>
  <c r="F31"/>
  <c r="G31"/>
  <c r="H31"/>
  <c r="I31"/>
  <c r="J31"/>
  <c r="K31"/>
  <c r="L31"/>
  <c r="M31"/>
  <c r="N10"/>
  <c r="N11"/>
  <c r="N13"/>
  <c r="N14"/>
  <c r="M9"/>
  <c r="L9"/>
  <c r="K9"/>
  <c r="J9"/>
  <c r="I9"/>
  <c r="H9"/>
  <c r="G9"/>
  <c r="F9"/>
  <c r="M12"/>
  <c r="M15" s="1"/>
  <c r="M32" s="1"/>
  <c r="L12"/>
  <c r="L15" s="1"/>
  <c r="L32" s="1"/>
  <c r="K12"/>
  <c r="K15" s="1"/>
  <c r="K32" s="1"/>
  <c r="J12"/>
  <c r="J15" s="1"/>
  <c r="J32" s="1"/>
  <c r="I12"/>
  <c r="I15" s="1"/>
  <c r="I32" s="1"/>
  <c r="H12"/>
  <c r="H15" s="1"/>
  <c r="H32" s="1"/>
  <c r="G12"/>
  <c r="G15" s="1"/>
  <c r="G32" s="1"/>
  <c r="F12"/>
  <c r="E12"/>
  <c r="E9"/>
  <c r="M30"/>
  <c r="L30"/>
  <c r="K30"/>
  <c r="M29"/>
  <c r="L29"/>
  <c r="K29"/>
  <c r="M27"/>
  <c r="L27"/>
  <c r="K27"/>
  <c r="J30"/>
  <c r="I30"/>
  <c r="H30"/>
  <c r="J29"/>
  <c r="I29"/>
  <c r="H29"/>
  <c r="J27"/>
  <c r="I27"/>
  <c r="H27"/>
  <c r="G30"/>
  <c r="F30"/>
  <c r="E30"/>
  <c r="G29"/>
  <c r="F29"/>
  <c r="E29"/>
  <c r="D30"/>
  <c r="C30"/>
  <c r="B30"/>
  <c r="D29"/>
  <c r="C29"/>
  <c r="B29"/>
  <c r="D27"/>
  <c r="C27"/>
  <c r="B27"/>
  <c r="K20"/>
  <c r="H20"/>
  <c r="E20"/>
  <c r="B20"/>
  <c r="N23"/>
  <c r="N22"/>
  <c r="N21"/>
  <c r="N6"/>
  <c r="N5"/>
  <c r="N4"/>
  <c r="E15" l="1"/>
  <c r="E32" s="1"/>
  <c r="C15"/>
  <c r="C32" s="1"/>
  <c r="N9"/>
  <c r="N162" i="31"/>
  <c r="N161"/>
  <c r="B32" i="30"/>
  <c r="B24"/>
  <c r="G28"/>
  <c r="M28"/>
  <c r="I28"/>
  <c r="N12"/>
  <c r="K51" i="31"/>
  <c r="K89"/>
  <c r="J95"/>
  <c r="K116"/>
  <c r="J122"/>
  <c r="J5"/>
  <c r="F15" i="30"/>
  <c r="F32" s="1"/>
  <c r="K24"/>
  <c r="B28"/>
  <c r="B33" s="1"/>
  <c r="D28"/>
  <c r="F28"/>
  <c r="H28"/>
  <c r="J28"/>
  <c r="J33" s="1"/>
  <c r="L28"/>
  <c r="H24"/>
  <c r="C28"/>
  <c r="C33" s="1"/>
  <c r="E28"/>
  <c r="K28"/>
  <c r="K33" s="1"/>
  <c r="G27"/>
  <c r="G33" s="1"/>
  <c r="E24"/>
  <c r="N19"/>
  <c r="E27"/>
  <c r="F27"/>
  <c r="N29"/>
  <c r="N31"/>
  <c r="N30"/>
  <c r="N20"/>
  <c r="N24" l="1"/>
  <c r="N28"/>
  <c r="K38"/>
  <c r="K48"/>
  <c r="K36"/>
  <c r="K39"/>
  <c r="K46"/>
  <c r="K40"/>
  <c r="K44"/>
  <c r="L54" i="31" s="1"/>
  <c r="K47" i="30"/>
  <c r="C46"/>
  <c r="C44"/>
  <c r="C47"/>
  <c r="C48"/>
  <c r="C38"/>
  <c r="C36"/>
  <c r="C39"/>
  <c r="C40"/>
  <c r="G46"/>
  <c r="G48"/>
  <c r="G47"/>
  <c r="G38"/>
  <c r="G40"/>
  <c r="G39"/>
  <c r="J38"/>
  <c r="J36"/>
  <c r="J47"/>
  <c r="J40"/>
  <c r="J46"/>
  <c r="J44"/>
  <c r="K54" i="31" s="1"/>
  <c r="J39" i="30"/>
  <c r="J48"/>
  <c r="K53" i="31" s="1"/>
  <c r="B36" i="30"/>
  <c r="B46"/>
  <c r="B47"/>
  <c r="B40"/>
  <c r="B44"/>
  <c r="B38"/>
  <c r="B39"/>
  <c r="B48"/>
  <c r="N15"/>
  <c r="L33"/>
  <c r="K37"/>
  <c r="K45"/>
  <c r="C37"/>
  <c r="C45"/>
  <c r="G44"/>
  <c r="G36"/>
  <c r="J37"/>
  <c r="J45"/>
  <c r="B37"/>
  <c r="B45"/>
  <c r="F33"/>
  <c r="F44" s="1"/>
  <c r="G37"/>
  <c r="G45"/>
  <c r="D33"/>
  <c r="D45" s="1"/>
  <c r="N32"/>
  <c r="H33"/>
  <c r="H37" s="1"/>
  <c r="M33"/>
  <c r="M45" s="1"/>
  <c r="I33"/>
  <c r="I45" s="1"/>
  <c r="E33"/>
  <c r="K5" i="31"/>
  <c r="K122"/>
  <c r="L116"/>
  <c r="K95"/>
  <c r="L89"/>
  <c r="L51"/>
  <c r="B55" i="30"/>
  <c r="C56"/>
  <c r="B56"/>
  <c r="N27"/>
  <c r="J55"/>
  <c r="J53"/>
  <c r="J54"/>
  <c r="K53"/>
  <c r="G54"/>
  <c r="H54" i="31" l="1"/>
  <c r="N33" i="30"/>
  <c r="H53" i="31"/>
  <c r="D53"/>
  <c r="D54"/>
  <c r="L53"/>
  <c r="C54"/>
  <c r="C53"/>
  <c r="E47" i="30"/>
  <c r="E55" s="1"/>
  <c r="E46"/>
  <c r="E48"/>
  <c r="E49" s="1"/>
  <c r="E58" s="1"/>
  <c r="E39"/>
  <c r="E38"/>
  <c r="N38" s="1"/>
  <c r="E40"/>
  <c r="M36"/>
  <c r="M52" s="1"/>
  <c r="M38"/>
  <c r="M48"/>
  <c r="M39"/>
  <c r="M44"/>
  <c r="N54" i="31" s="1"/>
  <c r="M46" i="30"/>
  <c r="M40"/>
  <c r="M47"/>
  <c r="M37"/>
  <c r="M53" s="1"/>
  <c r="F45"/>
  <c r="E37"/>
  <c r="E53" s="1"/>
  <c r="E36"/>
  <c r="L44"/>
  <c r="L39"/>
  <c r="L38"/>
  <c r="L48"/>
  <c r="L36"/>
  <c r="L52" s="1"/>
  <c r="M56" i="31" s="1"/>
  <c r="L47" i="30"/>
  <c r="L46"/>
  <c r="L40"/>
  <c r="L45"/>
  <c r="J56"/>
  <c r="K56"/>
  <c r="I36"/>
  <c r="I39"/>
  <c r="I46"/>
  <c r="I48"/>
  <c r="I49" s="1"/>
  <c r="I58" s="1"/>
  <c r="I44"/>
  <c r="J54" i="31" s="1"/>
  <c r="I47" i="30"/>
  <c r="I38"/>
  <c r="I54" s="1"/>
  <c r="I40"/>
  <c r="H47"/>
  <c r="H46"/>
  <c r="H48"/>
  <c r="H36"/>
  <c r="H52" s="1"/>
  <c r="H44"/>
  <c r="H39"/>
  <c r="H38"/>
  <c r="H40"/>
  <c r="D47"/>
  <c r="D46"/>
  <c r="D36"/>
  <c r="D44"/>
  <c r="D48"/>
  <c r="D39"/>
  <c r="D38"/>
  <c r="D40"/>
  <c r="I37"/>
  <c r="F47"/>
  <c r="F46"/>
  <c r="F40"/>
  <c r="F39"/>
  <c r="F38"/>
  <c r="F48"/>
  <c r="F37"/>
  <c r="E45"/>
  <c r="F36"/>
  <c r="G54" i="31" s="1"/>
  <c r="D37" i="30"/>
  <c r="H45"/>
  <c r="H53" s="1"/>
  <c r="E44"/>
  <c r="F54" i="31" s="1"/>
  <c r="L37" i="30"/>
  <c r="G56"/>
  <c r="M51" i="31"/>
  <c r="M89"/>
  <c r="L95"/>
  <c r="M116"/>
  <c r="L5"/>
  <c r="L122"/>
  <c r="B54" i="30"/>
  <c r="B49"/>
  <c r="C53"/>
  <c r="C55"/>
  <c r="B53"/>
  <c r="B41"/>
  <c r="D53"/>
  <c r="B52"/>
  <c r="C54"/>
  <c r="C41"/>
  <c r="C52"/>
  <c r="D56" i="31" s="1"/>
  <c r="N48" i="30"/>
  <c r="C49"/>
  <c r="K54"/>
  <c r="N39"/>
  <c r="E41"/>
  <c r="E52"/>
  <c r="N36"/>
  <c r="H41"/>
  <c r="K41"/>
  <c r="K52"/>
  <c r="L56" i="31" s="1"/>
  <c r="I41" i="30"/>
  <c r="I52"/>
  <c r="J56" i="31" s="1"/>
  <c r="G41" i="30"/>
  <c r="G52"/>
  <c r="J52"/>
  <c r="K56" i="31" s="1"/>
  <c r="J41" i="30"/>
  <c r="M41"/>
  <c r="G53"/>
  <c r="G55"/>
  <c r="N40"/>
  <c r="L41"/>
  <c r="N44"/>
  <c r="H49"/>
  <c r="K49"/>
  <c r="K58" s="1"/>
  <c r="N46"/>
  <c r="K55"/>
  <c r="G49"/>
  <c r="G58" s="1"/>
  <c r="J49"/>
  <c r="J58" s="1"/>
  <c r="M49"/>
  <c r="M58" s="1"/>
  <c r="N47" l="1"/>
  <c r="F52"/>
  <c r="G56" i="31" s="1"/>
  <c r="N37" i="30"/>
  <c r="N45"/>
  <c r="D55"/>
  <c r="D49"/>
  <c r="H58"/>
  <c r="K119" i="31" s="1"/>
  <c r="F41" i="30"/>
  <c r="H55"/>
  <c r="E54"/>
  <c r="E54" i="31"/>
  <c r="G53"/>
  <c r="C33"/>
  <c r="E53"/>
  <c r="I54"/>
  <c r="I53"/>
  <c r="M53"/>
  <c r="C58" i="30"/>
  <c r="B58"/>
  <c r="J53" i="31"/>
  <c r="M54"/>
  <c r="N53"/>
  <c r="F53"/>
  <c r="F55" i="30"/>
  <c r="K92" i="31"/>
  <c r="J119"/>
  <c r="I92"/>
  <c r="C31"/>
  <c r="C32"/>
  <c r="D58"/>
  <c r="D59" s="1"/>
  <c r="I56"/>
  <c r="F56"/>
  <c r="C56"/>
  <c r="L53" i="30"/>
  <c r="F53"/>
  <c r="F54"/>
  <c r="F56"/>
  <c r="C64" s="1"/>
  <c r="D64" s="1"/>
  <c r="E64" s="1"/>
  <c r="I53"/>
  <c r="D54"/>
  <c r="D52"/>
  <c r="D41"/>
  <c r="H54"/>
  <c r="L56"/>
  <c r="L55"/>
  <c r="M55"/>
  <c r="M54"/>
  <c r="E56"/>
  <c r="E57" s="1"/>
  <c r="F49"/>
  <c r="N56" i="31"/>
  <c r="H56"/>
  <c r="D56" i="30"/>
  <c r="H56"/>
  <c r="I56"/>
  <c r="I55"/>
  <c r="L54"/>
  <c r="L49"/>
  <c r="L58" s="1"/>
  <c r="M56"/>
  <c r="M57" s="1"/>
  <c r="J57"/>
  <c r="F57"/>
  <c r="C63"/>
  <c r="C57"/>
  <c r="K57"/>
  <c r="M122" i="31"/>
  <c r="M5"/>
  <c r="N116"/>
  <c r="M95"/>
  <c r="N89"/>
  <c r="N51"/>
  <c r="B57" i="30"/>
  <c r="G57"/>
  <c r="N52"/>
  <c r="D6" i="8" s="1"/>
  <c r="N41" i="30" l="1"/>
  <c r="D58"/>
  <c r="I119" i="31"/>
  <c r="J92"/>
  <c r="D119"/>
  <c r="E119"/>
  <c r="E92"/>
  <c r="D92"/>
  <c r="C119"/>
  <c r="C92"/>
  <c r="N55" i="30"/>
  <c r="I57"/>
  <c r="L57"/>
  <c r="M92" i="31"/>
  <c r="M119"/>
  <c r="N49" i="30"/>
  <c r="F58"/>
  <c r="N54"/>
  <c r="N119" i="31"/>
  <c r="L119"/>
  <c r="N53" i="30"/>
  <c r="D7" i="8" s="1"/>
  <c r="N92" i="31"/>
  <c r="L92"/>
  <c r="L58"/>
  <c r="L59" s="1"/>
  <c r="C58"/>
  <c r="C59" s="1"/>
  <c r="E33"/>
  <c r="E35" s="1"/>
  <c r="N56" i="30"/>
  <c r="D8" i="8" s="1"/>
  <c r="H58" i="31"/>
  <c r="H59" s="1"/>
  <c r="E56"/>
  <c r="D57" i="30"/>
  <c r="H57"/>
  <c r="D63"/>
  <c r="E63" s="1"/>
  <c r="C65"/>
  <c r="D65" s="1"/>
  <c r="E65" s="1"/>
  <c r="N58" i="31"/>
  <c r="N59" s="1"/>
  <c r="N95"/>
  <c r="N5"/>
  <c r="N122"/>
  <c r="D9" i="8"/>
  <c r="E6"/>
  <c r="N57" i="30" l="1"/>
  <c r="G92" i="31"/>
  <c r="G119"/>
  <c r="F92"/>
  <c r="H92"/>
  <c r="F119"/>
  <c r="H119"/>
  <c r="K58"/>
  <c r="K59" s="1"/>
  <c r="F32"/>
  <c r="E58"/>
  <c r="E59" s="1"/>
  <c r="I58"/>
  <c r="I59" s="1"/>
  <c r="J58"/>
  <c r="J59" s="1"/>
  <c r="G58"/>
  <c r="G59" s="1"/>
  <c r="F58"/>
  <c r="F59" s="1"/>
  <c r="M58"/>
  <c r="M59" s="1"/>
  <c r="E8" i="8"/>
  <c r="E9" s="1"/>
  <c r="C13" s="1"/>
  <c r="F8"/>
  <c r="F9" s="1"/>
  <c r="C14" s="1"/>
  <c r="O54" i="31"/>
  <c r="O57"/>
  <c r="O53" l="1"/>
  <c r="O58" s="1"/>
  <c r="C19" i="35" s="1"/>
  <c r="C35" i="31"/>
  <c r="F31"/>
  <c r="F35" s="1"/>
  <c r="C24" i="7"/>
  <c r="O59" i="31" l="1"/>
  <c r="C61"/>
  <c r="D62" s="1"/>
  <c r="D34"/>
  <c r="D33"/>
  <c r="D32"/>
  <c r="E36"/>
  <c r="F36"/>
  <c r="I98" s="1"/>
  <c r="D31"/>
  <c r="K125"/>
  <c r="H62"/>
  <c r="C36" i="7"/>
  <c r="J62" i="31" l="1"/>
  <c r="D98"/>
  <c r="G98"/>
  <c r="N62"/>
  <c r="C62"/>
  <c r="G62"/>
  <c r="F98"/>
  <c r="J98"/>
  <c r="E98"/>
  <c r="F125"/>
  <c r="M124"/>
  <c r="K124"/>
  <c r="I124"/>
  <c r="G124"/>
  <c r="E124"/>
  <c r="C124"/>
  <c r="N124"/>
  <c r="L124"/>
  <c r="J124"/>
  <c r="H124"/>
  <c r="F124"/>
  <c r="D124"/>
  <c r="M125"/>
  <c r="N125"/>
  <c r="L125"/>
  <c r="G125"/>
  <c r="D125"/>
  <c r="J125"/>
  <c r="I125"/>
  <c r="E125"/>
  <c r="C125"/>
  <c r="H125"/>
  <c r="M97"/>
  <c r="K97"/>
  <c r="I97"/>
  <c r="G97"/>
  <c r="E97"/>
  <c r="C97"/>
  <c r="N97"/>
  <c r="L97"/>
  <c r="J97"/>
  <c r="H97"/>
  <c r="F97"/>
  <c r="D97"/>
  <c r="N98"/>
  <c r="M98"/>
  <c r="H98"/>
  <c r="L98"/>
  <c r="C98"/>
  <c r="K98"/>
  <c r="M62"/>
  <c r="L62"/>
  <c r="K62"/>
  <c r="I62"/>
  <c r="E62"/>
  <c r="F62"/>
  <c r="O92"/>
  <c r="O119"/>
  <c r="O125" l="1"/>
  <c r="C22" i="35" s="1"/>
  <c r="C127" i="31"/>
  <c r="O98"/>
  <c r="C21" i="35" s="1"/>
  <c r="C100" i="31"/>
  <c r="C101" s="1"/>
  <c r="O124"/>
  <c r="O97"/>
  <c r="K101" l="1"/>
  <c r="B30" i="16"/>
  <c r="B28"/>
  <c r="B26"/>
  <c r="B24"/>
  <c r="B22"/>
  <c r="B20"/>
  <c r="B18"/>
  <c r="B16"/>
  <c r="B14"/>
  <c r="B12"/>
  <c r="B10"/>
  <c r="B8"/>
  <c r="B6"/>
  <c r="B4"/>
  <c r="B2"/>
  <c r="B31"/>
  <c r="B29"/>
  <c r="B27"/>
  <c r="B25"/>
  <c r="B23"/>
  <c r="B21"/>
  <c r="B19"/>
  <c r="B17"/>
  <c r="B15"/>
  <c r="B13"/>
  <c r="B11"/>
  <c r="B9"/>
  <c r="B7"/>
  <c r="B5"/>
  <c r="B3"/>
  <c r="C12" i="13"/>
  <c r="M101" i="31"/>
  <c r="C13" i="13"/>
  <c r="B20" s="1"/>
  <c r="E128" i="31"/>
  <c r="J128"/>
  <c r="D128"/>
  <c r="C128"/>
  <c r="G128"/>
  <c r="I128"/>
  <c r="K128"/>
  <c r="M128"/>
  <c r="N128"/>
  <c r="H128"/>
  <c r="H101"/>
  <c r="G101"/>
  <c r="I101"/>
  <c r="D101"/>
  <c r="L101"/>
  <c r="F101"/>
  <c r="J101"/>
  <c r="E101"/>
  <c r="N101"/>
  <c r="L128"/>
  <c r="F128"/>
  <c r="C10" i="9"/>
  <c r="C9"/>
  <c r="C8"/>
  <c r="B18" i="13" l="1"/>
  <c r="C4" i="35" l="1"/>
  <c r="C102" i="31"/>
  <c r="C129"/>
  <c r="C132" s="1"/>
  <c r="C63"/>
  <c r="C67" s="1"/>
  <c r="C70" s="1"/>
  <c r="C105" l="1"/>
  <c r="C106" s="1"/>
  <c r="E67"/>
  <c r="E19" i="35" s="1"/>
  <c r="D70" i="31"/>
  <c r="C136"/>
  <c r="C133"/>
  <c r="D22" i="35" s="1"/>
  <c r="D105" i="31"/>
  <c r="E21" i="35" s="1"/>
  <c r="C68" i="31"/>
  <c r="C69"/>
  <c r="D69" s="1"/>
  <c r="C74"/>
  <c r="D132"/>
  <c r="E22" i="35" s="1"/>
  <c r="D21" l="1"/>
  <c r="F22"/>
  <c r="G22" s="1"/>
  <c r="H22" s="1"/>
  <c r="C71" i="31"/>
  <c r="D19" i="35" s="1"/>
  <c r="D15" s="1"/>
  <c r="E33"/>
  <c r="E44"/>
  <c r="E56"/>
  <c r="F21"/>
  <c r="G21" s="1"/>
  <c r="E34"/>
  <c r="E45"/>
  <c r="E57"/>
  <c r="E54"/>
  <c r="E42"/>
  <c r="E31"/>
  <c r="D68" i="31"/>
  <c r="D71" s="1"/>
  <c r="J22" i="35" l="1"/>
  <c r="I22"/>
  <c r="H21"/>
  <c r="I21"/>
  <c r="J21"/>
  <c r="F19"/>
  <c r="G19" s="1"/>
  <c r="G20" s="1"/>
  <c r="J20" s="1"/>
  <c r="K22" l="1"/>
  <c r="J25"/>
  <c r="K21"/>
  <c r="G25"/>
  <c r="I20"/>
  <c r="I25" s="1"/>
  <c r="H20"/>
  <c r="K26" l="1"/>
  <c r="J26" s="1"/>
  <c r="I26" s="1"/>
  <c r="I28" s="1"/>
  <c r="K20"/>
  <c r="K25" s="1"/>
  <c r="H25"/>
  <c r="L20" l="1"/>
  <c r="L21"/>
  <c r="L23"/>
  <c r="L24"/>
  <c r="L22"/>
  <c r="M20" l="1"/>
  <c r="H13" i="36" l="1"/>
  <c r="E22" i="33" l="1"/>
  <c r="E25" s="1"/>
  <c r="G22"/>
  <c r="G170" i="31" s="1"/>
  <c r="L22" i="33"/>
  <c r="K22"/>
  <c r="K25" s="1"/>
  <c r="J22"/>
  <c r="J170" i="31" s="1"/>
  <c r="D22" i="33"/>
  <c r="F22"/>
  <c r="M22"/>
  <c r="M25" s="1"/>
  <c r="H22"/>
  <c r="N22"/>
  <c r="C22"/>
  <c r="I22"/>
  <c r="I25" s="1"/>
  <c r="N170" i="31" l="1"/>
  <c r="N25" i="33"/>
  <c r="F25"/>
  <c r="F170" i="31"/>
  <c r="J172"/>
  <c r="J173"/>
  <c r="L25" i="33"/>
  <c r="L170" i="31"/>
  <c r="C25" i="33"/>
  <c r="C170" i="31"/>
  <c r="H25" i="33"/>
  <c r="H170" i="31"/>
  <c r="D25" i="33"/>
  <c r="D170" i="31"/>
  <c r="G173"/>
  <c r="G172"/>
  <c r="I170"/>
  <c r="K170"/>
  <c r="M170"/>
  <c r="J25" i="33"/>
  <c r="G25"/>
  <c r="E170" i="31"/>
  <c r="D173" l="1"/>
  <c r="D172"/>
  <c r="H172"/>
  <c r="H173"/>
  <c r="C173"/>
  <c r="C172"/>
  <c r="N173"/>
  <c r="N172"/>
  <c r="E173"/>
  <c r="E172"/>
  <c r="M172"/>
  <c r="M173"/>
  <c r="K173"/>
  <c r="K172"/>
  <c r="I172"/>
  <c r="I173"/>
  <c r="L172"/>
  <c r="L173"/>
  <c r="F173"/>
  <c r="F172"/>
  <c r="E6" i="33"/>
  <c r="L6"/>
  <c r="F6"/>
  <c r="F148" i="31" s="1"/>
  <c r="G6" i="33"/>
  <c r="G9" s="1"/>
  <c r="H6"/>
  <c r="C164"/>
  <c r="M6"/>
  <c r="M9" s="1"/>
  <c r="K6"/>
  <c r="D6"/>
  <c r="J6"/>
  <c r="J9" s="1"/>
  <c r="I6"/>
  <c r="I8" i="31" s="1"/>
  <c r="I11" s="1"/>
  <c r="N6" i="33" l="1"/>
  <c r="N9" s="1"/>
  <c r="D9"/>
  <c r="D148" i="31"/>
  <c r="D8"/>
  <c r="D11" s="1"/>
  <c r="H8"/>
  <c r="H11" s="1"/>
  <c r="H9" i="33"/>
  <c r="H148" i="31"/>
  <c r="E148"/>
  <c r="E8"/>
  <c r="E11" s="1"/>
  <c r="E9" i="33"/>
  <c r="K9"/>
  <c r="K148" i="31"/>
  <c r="K8"/>
  <c r="K11" s="1"/>
  <c r="C165" i="33"/>
  <c r="D163" s="1"/>
  <c r="C29" i="7" s="1"/>
  <c r="F150" i="31"/>
  <c r="F151"/>
  <c r="L9" i="33"/>
  <c r="L148" i="31"/>
  <c r="L8"/>
  <c r="L11" s="1"/>
  <c r="I148"/>
  <c r="J8"/>
  <c r="J11" s="1"/>
  <c r="M8"/>
  <c r="M11" s="1"/>
  <c r="G8"/>
  <c r="G11" s="1"/>
  <c r="F8"/>
  <c r="F11" s="1"/>
  <c r="J148"/>
  <c r="G148"/>
  <c r="F9" i="33"/>
  <c r="I9"/>
  <c r="M148" i="31"/>
  <c r="N8" l="1"/>
  <c r="N11" s="1"/>
  <c r="N148"/>
  <c r="N150" s="1"/>
  <c r="D164" i="33"/>
  <c r="C30" i="7" s="1"/>
  <c r="H14" i="36" s="1"/>
  <c r="D23" i="7" s="1"/>
  <c r="M150" i="31"/>
  <c r="M151"/>
  <c r="J150"/>
  <c r="J151"/>
  <c r="F178"/>
  <c r="F152" s="1"/>
  <c r="K150"/>
  <c r="K151"/>
  <c r="E151"/>
  <c r="E150"/>
  <c r="G150"/>
  <c r="G151"/>
  <c r="N151"/>
  <c r="I150"/>
  <c r="I151"/>
  <c r="L151"/>
  <c r="L150"/>
  <c r="F179"/>
  <c r="F153" s="1"/>
  <c r="D22" i="7"/>
  <c r="H150" i="31"/>
  <c r="H151"/>
  <c r="D150"/>
  <c r="D151"/>
  <c r="D24" i="7" l="1"/>
  <c r="C9" s="1"/>
  <c r="C10" s="1"/>
  <c r="D179" i="31"/>
  <c r="D153" s="1"/>
  <c r="H179"/>
  <c r="H153" s="1"/>
  <c r="L178"/>
  <c r="L152" s="1"/>
  <c r="I179"/>
  <c r="I153" s="1"/>
  <c r="N179"/>
  <c r="N153" s="1"/>
  <c r="G179"/>
  <c r="G153" s="1"/>
  <c r="E179"/>
  <c r="E153" s="1"/>
  <c r="K178"/>
  <c r="K152" s="1"/>
  <c r="J178"/>
  <c r="J152" s="1"/>
  <c r="M178"/>
  <c r="M152" s="1"/>
  <c r="D178"/>
  <c r="D152" s="1"/>
  <c r="H178"/>
  <c r="H152" s="1"/>
  <c r="F164"/>
  <c r="F175"/>
  <c r="L179"/>
  <c r="I178"/>
  <c r="I152" s="1"/>
  <c r="N178"/>
  <c r="N152" s="1"/>
  <c r="G178"/>
  <c r="G152" s="1"/>
  <c r="E178"/>
  <c r="K179"/>
  <c r="F163"/>
  <c r="F174"/>
  <c r="J179"/>
  <c r="J153" s="1"/>
  <c r="M179"/>
  <c r="M153" s="1"/>
  <c r="C10" i="13" l="1"/>
  <c r="B19" s="1"/>
  <c r="D75" i="31"/>
  <c r="D137"/>
  <c r="E163"/>
  <c r="E174"/>
  <c r="E164"/>
  <c r="E175"/>
  <c r="L174"/>
  <c r="L163"/>
  <c r="K164"/>
  <c r="K175"/>
  <c r="L175"/>
  <c r="L164"/>
  <c r="M164"/>
  <c r="M175"/>
  <c r="J164"/>
  <c r="J175"/>
  <c r="G163"/>
  <c r="G174"/>
  <c r="N174"/>
  <c r="N163"/>
  <c r="I163"/>
  <c r="I174"/>
  <c r="H163"/>
  <c r="H174"/>
  <c r="D174"/>
  <c r="D163"/>
  <c r="M163"/>
  <c r="M174"/>
  <c r="J174"/>
  <c r="J163"/>
  <c r="K174"/>
  <c r="K163"/>
  <c r="G175"/>
  <c r="G164"/>
  <c r="N164"/>
  <c r="N175"/>
  <c r="I175"/>
  <c r="I164"/>
  <c r="H164"/>
  <c r="H175"/>
  <c r="D164"/>
  <c r="D175"/>
  <c r="K153"/>
  <c r="E152"/>
  <c r="L153"/>
  <c r="C9" i="13" l="1"/>
  <c r="C75" i="31"/>
  <c r="C28" i="35"/>
  <c r="D138" i="31"/>
  <c r="D76"/>
  <c r="D139"/>
  <c r="D77"/>
  <c r="E19" i="13"/>
  <c r="C19"/>
  <c r="C137" i="31"/>
  <c r="D28" i="35"/>
  <c r="C139" i="31" l="1"/>
  <c r="D51" i="35"/>
  <c r="C33"/>
  <c r="C34"/>
  <c r="D34"/>
  <c r="F34" s="1"/>
  <c r="G34" s="1"/>
  <c r="D33"/>
  <c r="F33" s="1"/>
  <c r="G33" s="1"/>
  <c r="C77" i="31"/>
  <c r="C51" i="35"/>
  <c r="C76" i="31"/>
  <c r="C78" s="1"/>
  <c r="D78" s="1"/>
  <c r="C39" i="35"/>
  <c r="C31"/>
  <c r="D31"/>
  <c r="F31" s="1"/>
  <c r="G31" s="1"/>
  <c r="G32" s="1"/>
  <c r="C138" i="31"/>
  <c r="D39" i="35"/>
  <c r="C140" i="31"/>
  <c r="C45" i="35" l="1"/>
  <c r="D45"/>
  <c r="F45" s="1"/>
  <c r="G45" s="1"/>
  <c r="C44"/>
  <c r="D44"/>
  <c r="F44" s="1"/>
  <c r="G44" s="1"/>
  <c r="I34"/>
  <c r="J34"/>
  <c r="H34"/>
  <c r="I32"/>
  <c r="H32"/>
  <c r="J32"/>
  <c r="C42"/>
  <c r="D42"/>
  <c r="F42" s="1"/>
  <c r="G42" s="1"/>
  <c r="G43" s="1"/>
  <c r="C54"/>
  <c r="D54"/>
  <c r="F54" s="1"/>
  <c r="G54" s="1"/>
  <c r="G55" s="1"/>
  <c r="I33"/>
  <c r="H33"/>
  <c r="J33"/>
  <c r="C57"/>
  <c r="D57"/>
  <c r="F57" s="1"/>
  <c r="G57" s="1"/>
  <c r="D56"/>
  <c r="F56" s="1"/>
  <c r="G56" s="1"/>
  <c r="C56"/>
  <c r="K33" l="1"/>
  <c r="I56"/>
  <c r="J56"/>
  <c r="H56"/>
  <c r="I55"/>
  <c r="J55"/>
  <c r="H55"/>
  <c r="I57"/>
  <c r="J57"/>
  <c r="H57"/>
  <c r="K34"/>
  <c r="J43"/>
  <c r="I43"/>
  <c r="H43"/>
  <c r="K32"/>
  <c r="I44"/>
  <c r="H44"/>
  <c r="J44"/>
  <c r="J45"/>
  <c r="I45"/>
  <c r="H45"/>
  <c r="K56" l="1"/>
  <c r="K45"/>
  <c r="K44"/>
  <c r="K43"/>
  <c r="K55"/>
  <c r="K57"/>
  <c r="C6" i="33"/>
  <c r="C8" i="31" l="1"/>
  <c r="C11" s="1"/>
  <c r="C9" i="33"/>
  <c r="C148" i="31"/>
  <c r="C13" l="1"/>
  <c r="C14" s="1"/>
  <c r="C151"/>
  <c r="C150"/>
  <c r="C178" l="1"/>
  <c r="C179"/>
  <c r="C153" s="1"/>
  <c r="D14"/>
  <c r="H14"/>
  <c r="L14"/>
  <c r="M14"/>
  <c r="G14"/>
  <c r="F14"/>
  <c r="N14"/>
  <c r="K14"/>
  <c r="E14"/>
  <c r="J14"/>
  <c r="I14"/>
  <c r="C15" l="1"/>
  <c r="C18" s="1"/>
  <c r="C20" s="1"/>
  <c r="C163"/>
  <c r="C174"/>
  <c r="C164"/>
  <c r="C175"/>
  <c r="C152"/>
  <c r="C19" l="1"/>
  <c r="C21"/>
  <c r="C182"/>
  <c r="C185" s="1"/>
  <c r="C22"/>
  <c r="C183"/>
  <c r="C184" l="1"/>
  <c r="C12" i="3" s="1"/>
  <c r="D12" s="1"/>
  <c r="C19" s="1"/>
  <c r="C23" i="31"/>
  <c r="C18" i="35" s="1"/>
  <c r="C41"/>
  <c r="C30"/>
  <c r="C14" i="3"/>
  <c r="D14" s="1"/>
  <c r="C21" s="1"/>
  <c r="C13"/>
  <c r="D13" s="1"/>
  <c r="C20" s="1"/>
  <c r="C53" i="35"/>
  <c r="C186" i="31" l="1"/>
  <c r="G36" i="35"/>
  <c r="G35"/>
  <c r="G58"/>
  <c r="G59"/>
  <c r="G47"/>
  <c r="G46"/>
  <c r="J47" l="1"/>
  <c r="I47"/>
  <c r="H47"/>
  <c r="I58"/>
  <c r="J58"/>
  <c r="G60"/>
  <c r="H58"/>
  <c r="I36"/>
  <c r="J36"/>
  <c r="H36"/>
  <c r="I46"/>
  <c r="G48"/>
  <c r="J46"/>
  <c r="J48" s="1"/>
  <c r="H46"/>
  <c r="J59"/>
  <c r="I59"/>
  <c r="H59"/>
  <c r="I35"/>
  <c r="I37" s="1"/>
  <c r="J35"/>
  <c r="J37" s="1"/>
  <c r="G37"/>
  <c r="H35"/>
  <c r="K59" l="1"/>
  <c r="I48"/>
  <c r="K47"/>
  <c r="K35"/>
  <c r="H37"/>
  <c r="K58"/>
  <c r="H60"/>
  <c r="J60"/>
  <c r="H48"/>
  <c r="K46"/>
  <c r="K36"/>
  <c r="I60"/>
  <c r="K60" l="1"/>
  <c r="E13" i="3" s="1"/>
  <c r="F13" s="1"/>
  <c r="D20" s="1"/>
  <c r="E20" s="1"/>
  <c r="D27" s="1"/>
  <c r="E27" s="1"/>
  <c r="F27" s="1"/>
  <c r="G27" s="1"/>
  <c r="E9" i="9" s="1"/>
  <c r="H9" s="1"/>
  <c r="K48" i="35"/>
  <c r="E12" i="3" s="1"/>
  <c r="F12" s="1"/>
  <c r="D19" s="1"/>
  <c r="E19" s="1"/>
  <c r="D26" s="1"/>
  <c r="E26" s="1"/>
  <c r="F26" s="1"/>
  <c r="G26" s="1"/>
  <c r="D5"/>
  <c r="K37" i="35"/>
  <c r="E14" i="3" s="1"/>
  <c r="F14" s="1"/>
  <c r="D21" s="1"/>
  <c r="E21" s="1"/>
  <c r="D4"/>
  <c r="G4" l="1"/>
  <c r="G5"/>
  <c r="E5"/>
  <c r="H5" s="1"/>
  <c r="D6"/>
  <c r="D28"/>
  <c r="E28" s="1"/>
  <c r="F28" s="1"/>
  <c r="G28" s="1"/>
  <c r="E10" i="9" s="1"/>
  <c r="H10" s="1"/>
  <c r="G29" i="3"/>
  <c r="E8" i="9"/>
  <c r="G6" i="3" l="1"/>
  <c r="E6"/>
  <c r="H6" s="1"/>
  <c r="I5"/>
  <c r="J5" s="1"/>
  <c r="D9" i="9" s="1"/>
  <c r="I4" i="3"/>
  <c r="J4" s="1"/>
  <c r="D8" i="9" s="1"/>
  <c r="E4" i="3"/>
  <c r="H4" s="1"/>
  <c r="E11" i="9"/>
  <c r="H8"/>
  <c r="H11" s="1"/>
  <c r="C8" i="13" s="1"/>
  <c r="E17" s="1"/>
  <c r="E21" s="1"/>
  <c r="E2" i="15" s="1"/>
  <c r="G8" i="9" l="1"/>
  <c r="F8"/>
  <c r="I6" i="3"/>
  <c r="J6" s="1"/>
  <c r="D10" i="9" s="1"/>
  <c r="F9"/>
  <c r="G9"/>
  <c r="G10" l="1"/>
  <c r="G11" s="1"/>
  <c r="C7" i="13" s="1"/>
  <c r="F10" i="9"/>
  <c r="F11" s="1"/>
  <c r="D11"/>
  <c r="C5" i="13" s="1"/>
  <c r="D17" l="1"/>
  <c r="D21" s="1"/>
  <c r="D2" i="15" s="1"/>
  <c r="F2" s="1"/>
  <c r="B2" s="1"/>
  <c r="C6" i="13"/>
  <c r="B17" s="1"/>
  <c r="B21" l="1"/>
  <c r="B24" s="1"/>
  <c r="C24" s="1"/>
  <c r="D24" s="1"/>
  <c r="C17"/>
  <c r="E3" i="15"/>
  <c r="D3"/>
  <c r="F3"/>
</calcChain>
</file>

<file path=xl/sharedStrings.xml><?xml version="1.0" encoding="utf-8"?>
<sst xmlns="http://schemas.openxmlformats.org/spreadsheetml/2006/main" count="790" uniqueCount="302">
  <si>
    <t>OPERADOR I</t>
  </si>
  <si>
    <t>OPERADOR II</t>
  </si>
  <si>
    <t>Red móvil (desde abonado prepago)</t>
  </si>
  <si>
    <t>Red de telefonía fija en área rural</t>
  </si>
  <si>
    <t>Red de Telefonía fija (tarjeta prepago)</t>
  </si>
  <si>
    <t>Red Móvil</t>
  </si>
  <si>
    <t>COMPONENTES GENERALES</t>
  </si>
  <si>
    <t>FUNCIONES DEL SISTEMA DE PLATAFORMA</t>
  </si>
  <si>
    <t>Sistema de Base de datos</t>
  </si>
  <si>
    <t>Sistema de información</t>
  </si>
  <si>
    <t>Sistema de programación general</t>
  </si>
  <si>
    <t>Manejo de Tarifas</t>
  </si>
  <si>
    <t>Modulo integrado de administración de tarjetas</t>
  </si>
  <si>
    <t xml:space="preserve">Sistema de gestión </t>
  </si>
  <si>
    <t>Controlador de llamadas</t>
  </si>
  <si>
    <t>Autentificación</t>
  </si>
  <si>
    <t>Tasación de llamadas</t>
  </si>
  <si>
    <t>Sistema de soporte al usuario</t>
  </si>
  <si>
    <t>Sistema de notificación Integrado</t>
  </si>
  <si>
    <t>Sistema de Recargas</t>
  </si>
  <si>
    <t>Interfaz web para el usuario</t>
  </si>
  <si>
    <t>Aplicación para el Call Center</t>
  </si>
  <si>
    <t>IN</t>
  </si>
  <si>
    <t>Total</t>
  </si>
  <si>
    <t>Lima</t>
  </si>
  <si>
    <t>Sur</t>
  </si>
  <si>
    <t>Norte</t>
  </si>
  <si>
    <t>Concepto</t>
  </si>
  <si>
    <t>CAPEX</t>
  </si>
  <si>
    <t>Gastos Totales</t>
  </si>
  <si>
    <t>Scratch cards, distribucion y servicios extras*</t>
  </si>
  <si>
    <t>Ventas</t>
  </si>
  <si>
    <t>* Gastos atribuidos totalmente al negocio prepago</t>
  </si>
  <si>
    <t>** Gastos netos de actividades atribuibles directamente a usuarios postpago.</t>
  </si>
  <si>
    <t>*** No incluye depreciación de activos de red</t>
  </si>
  <si>
    <t>Tráfico Total</t>
  </si>
  <si>
    <t>Vida Util</t>
  </si>
  <si>
    <t>Valor de 
la Inversión</t>
  </si>
  <si>
    <t>Operación directa 
y Mantenimiento</t>
  </si>
  <si>
    <t>Costo 
Anual</t>
  </si>
  <si>
    <t>WACC</t>
  </si>
  <si>
    <t>Valor Obtenido</t>
  </si>
  <si>
    <t>Valor</t>
  </si>
  <si>
    <t>Años</t>
  </si>
  <si>
    <t>OPEX</t>
  </si>
  <si>
    <t>Overhead</t>
  </si>
  <si>
    <t>Cantidad</t>
  </si>
  <si>
    <t>TOTAL</t>
  </si>
  <si>
    <t>Descuento</t>
  </si>
  <si>
    <t>PREPAGO</t>
  </si>
  <si>
    <t>Scratch cards, Distribución y servicios extras</t>
  </si>
  <si>
    <t>Gastos de Viaje</t>
  </si>
  <si>
    <t>Sueldos y Salarios e Inherentes</t>
  </si>
  <si>
    <t>Pre-pago</t>
  </si>
  <si>
    <t>Post-pago adicional</t>
  </si>
  <si>
    <t>Post-pago</t>
  </si>
  <si>
    <t>Consumo Controlado</t>
  </si>
  <si>
    <t>Post-pago incluído</t>
  </si>
  <si>
    <t>Trim IV-2009</t>
  </si>
  <si>
    <t>Trim III-2009</t>
  </si>
  <si>
    <t>Trim II-2009</t>
  </si>
  <si>
    <t>Trim I-2009</t>
  </si>
  <si>
    <t>SMS</t>
  </si>
  <si>
    <t>MMS</t>
  </si>
  <si>
    <t>Ingreso Postpago (Renta Mensual)</t>
  </si>
  <si>
    <t>Ingreso Prepago</t>
  </si>
  <si>
    <t>Ingreso Postpago (Adicional)</t>
  </si>
  <si>
    <t>Otros</t>
  </si>
  <si>
    <t>Venta de Equipos</t>
  </si>
  <si>
    <t>Venta</t>
  </si>
  <si>
    <t>Factor</t>
  </si>
  <si>
    <t>Prepago</t>
  </si>
  <si>
    <t>Amazonas</t>
  </si>
  <si>
    <t>Ancash</t>
  </si>
  <si>
    <t>Arequipa</t>
  </si>
  <si>
    <t>Ayacucho</t>
  </si>
  <si>
    <t>Cajamarca</t>
  </si>
  <si>
    <t>Huancavelica</t>
  </si>
  <si>
    <t>Huánuco</t>
  </si>
  <si>
    <t>Ica</t>
  </si>
  <si>
    <t>Junín</t>
  </si>
  <si>
    <t>Lambayeque</t>
  </si>
  <si>
    <t>Loreto</t>
  </si>
  <si>
    <t>Madre de Dios</t>
  </si>
  <si>
    <t>Moquegua</t>
  </si>
  <si>
    <t>Pasco</t>
  </si>
  <si>
    <t>Piura</t>
  </si>
  <si>
    <t>San Martín</t>
  </si>
  <si>
    <t>Tacna</t>
  </si>
  <si>
    <t>Ucayali</t>
  </si>
  <si>
    <t>Control</t>
  </si>
  <si>
    <t>Tráfico Fijo - Fijo</t>
  </si>
  <si>
    <t>Sin tarjetas de Pago</t>
  </si>
  <si>
    <t>Con Tarjetas de Pago</t>
  </si>
  <si>
    <t>Tráfico Fijo - Móvil</t>
  </si>
  <si>
    <t>Sin Tarjetas de Pago</t>
  </si>
  <si>
    <t>CALCULOS</t>
  </si>
  <si>
    <t>LRIC</t>
  </si>
  <si>
    <t>TPP(V)</t>
  </si>
  <si>
    <t>CTP(V)</t>
  </si>
  <si>
    <t>TTP(V)</t>
  </si>
  <si>
    <t>Costos comunes</t>
  </si>
  <si>
    <t>Total (US$)</t>
  </si>
  <si>
    <t>Originado LDI</t>
  </si>
  <si>
    <t>Originado LDN</t>
  </si>
  <si>
    <t>Originado Local</t>
  </si>
  <si>
    <t>Tráfico Destino</t>
  </si>
  <si>
    <t>Tráfico por Origen</t>
  </si>
  <si>
    <t>Tráfico Local</t>
  </si>
  <si>
    <t>Tráfico LDN</t>
  </si>
  <si>
    <t>Tráfico LDI</t>
  </si>
  <si>
    <t>Tráfico TOTAL</t>
  </si>
  <si>
    <t>Tráfico Fijo Local</t>
  </si>
  <si>
    <t>Fijo</t>
  </si>
  <si>
    <t>Post Pago</t>
  </si>
  <si>
    <t>Tráfico 2009</t>
  </si>
  <si>
    <t>Uso Plataforma</t>
  </si>
  <si>
    <t>Uso Tarjetas</t>
  </si>
  <si>
    <t>Proporción Control TPP</t>
  </si>
  <si>
    <t>Postpago Puro</t>
  </si>
  <si>
    <t>INGRESOS</t>
  </si>
  <si>
    <t>MILES S/.</t>
  </si>
  <si>
    <t>Pre-pago + Fijo</t>
  </si>
  <si>
    <t>Prepago + Fijo</t>
  </si>
  <si>
    <t>Mayo</t>
  </si>
  <si>
    <t>Diario</t>
  </si>
  <si>
    <t>HC</t>
  </si>
  <si>
    <t>Servicio</t>
  </si>
  <si>
    <t>TRAFICO</t>
  </si>
  <si>
    <t>%</t>
  </si>
  <si>
    <t>LINEAS EN SERVICIO - MOVIL Y FIJA</t>
  </si>
  <si>
    <t>INFORMACION MENSUAL REPORTADA</t>
  </si>
  <si>
    <t>Modalidad</t>
  </si>
  <si>
    <t>PostPago</t>
  </si>
  <si>
    <t>Fija</t>
  </si>
  <si>
    <t>max</t>
  </si>
  <si>
    <t>aux max</t>
  </si>
  <si>
    <t>fecha max</t>
  </si>
  <si>
    <t>INFORMACION ANUALIZADA - MES DE MAYOR CARGA</t>
  </si>
  <si>
    <t>INFORMACION GEOGRAFICA - MES DE MAYOR CARGA</t>
  </si>
  <si>
    <t>NODO</t>
  </si>
  <si>
    <t>CENTRO</t>
  </si>
  <si>
    <t>TRAFICO DE VOZ - MOVIL Y FIJA</t>
  </si>
  <si>
    <t>Trafico Voz Movil</t>
  </si>
  <si>
    <t>Trafico Voz Movil No Plataforma</t>
  </si>
  <si>
    <t>Trafico Voz Movil Plataforma</t>
  </si>
  <si>
    <t>INFORMACION MENSUAL ESTIMADA</t>
  </si>
  <si>
    <t>Trafico anual Plataforma</t>
  </si>
  <si>
    <t>FijoConTarjeta</t>
  </si>
  <si>
    <t>numero de llamadas</t>
  </si>
  <si>
    <t>DIA MES</t>
  </si>
  <si>
    <t>LLAMADAS</t>
  </si>
  <si>
    <t>% VOZ</t>
  </si>
  <si>
    <t>TRAFICO SMS - MOVIL</t>
  </si>
  <si>
    <t>SMS REAL</t>
  </si>
  <si>
    <t>SMS 121</t>
  </si>
  <si>
    <t>INFORMACION MENSUAL PLATAFORMA</t>
  </si>
  <si>
    <t>TRAFICO MMS - MOVIL</t>
  </si>
  <si>
    <t>MMS REAL</t>
  </si>
  <si>
    <t>MMS 121</t>
  </si>
  <si>
    <t>LINEAS EN SERVICIO GEOGRAFICA - MOVIL</t>
  </si>
  <si>
    <t>Total Movil</t>
  </si>
  <si>
    <t>% Total</t>
  </si>
  <si>
    <t>% Movil</t>
  </si>
  <si>
    <t>INFORMACION MENSUAL REPORTADA - CENTRO</t>
  </si>
  <si>
    <t>INFORMACION TRIMESTRAL REPORTADA</t>
  </si>
  <si>
    <t>SERVICIO</t>
  </si>
  <si>
    <t>TRAFICO FIJO LOCAL</t>
  </si>
  <si>
    <t>FIJO-FIJO CON TARJETA</t>
  </si>
  <si>
    <t>FIJO-FIJO SIN TARJETA</t>
  </si>
  <si>
    <t>FIJO-MOVIL CON TARJETA</t>
  </si>
  <si>
    <t>FIJO-MOVIL SIN TARJETA</t>
  </si>
  <si>
    <t>LINEAS EN SERVICIO GEOGRAFICA - MOVIL Y FIJA</t>
  </si>
  <si>
    <t>NODOS DE ATENCION POR DEPARTAMENTO - MOVIL Y FIJA</t>
  </si>
  <si>
    <t>DEPARTAMENTO</t>
  </si>
  <si>
    <t>Apurímac</t>
  </si>
  <si>
    <t>Cusco</t>
  </si>
  <si>
    <t>La Libertad</t>
  </si>
  <si>
    <t>Puno</t>
  </si>
  <si>
    <t>Tumbes</t>
  </si>
  <si>
    <t>LINEAS EN SERVICIO POR DEPARTAMENTO - MOVIL</t>
  </si>
  <si>
    <t>MODALIDAD</t>
  </si>
  <si>
    <t>CONTROL</t>
  </si>
  <si>
    <t>POSTPAGO</t>
  </si>
  <si>
    <t>LINEAS EN SERVICIO POR DEPARTAMENTO - FIJA</t>
  </si>
  <si>
    <t>FIJA</t>
  </si>
  <si>
    <t>INFORMACION MENSUAL REPORTADA - NORTE</t>
  </si>
  <si>
    <t>NORTE</t>
  </si>
  <si>
    <t>INFORMACION MENSUAL REPORTADA - SUR</t>
  </si>
  <si>
    <t>SUR</t>
  </si>
  <si>
    <t>Control con Tarjetas</t>
  </si>
  <si>
    <t>Control sin Tarjetas</t>
  </si>
  <si>
    <t>DATO 121</t>
  </si>
  <si>
    <t>DATOS 121</t>
  </si>
  <si>
    <t>% MMS/MOVIL</t>
  </si>
  <si>
    <t>RECARGAS</t>
  </si>
  <si>
    <t>CONSULTA SALDO</t>
  </si>
  <si>
    <t>LLAMADAS DE VOZ</t>
  </si>
  <si>
    <t>MINUTOS DE VOZ</t>
  </si>
  <si>
    <t>ABONADOS</t>
  </si>
  <si>
    <t>HORA CARGADA</t>
  </si>
  <si>
    <t>DIA NORMAL</t>
  </si>
  <si>
    <t>DIAS MES</t>
  </si>
  <si>
    <t>MENSUAL CARGADO</t>
  </si>
  <si>
    <t>ANUAL</t>
  </si>
  <si>
    <t>% SMS/MMS</t>
  </si>
  <si>
    <t>mensajes</t>
  </si>
  <si>
    <t>mensajes final</t>
  </si>
  <si>
    <t>mensajes durante</t>
  </si>
  <si>
    <t>Mensajes inicio</t>
  </si>
  <si>
    <t>% ABONADOS SDP ADICIONAL</t>
  </si>
  <si>
    <t>evento</t>
  </si>
  <si>
    <t>% RECARGAS EN HORA PICO</t>
  </si>
  <si>
    <t>CONSULTA DE SALDOS POR HORA</t>
  </si>
  <si>
    <t>% MENSAJES MMS EN HORA PICO</t>
  </si>
  <si>
    <t>% MENSAJES SMS EN HORA PICO</t>
  </si>
  <si>
    <t>mensaje/min</t>
  </si>
  <si>
    <t>unidad</t>
  </si>
  <si>
    <t>DURACION MEDIA DE LLAMADAS</t>
  </si>
  <si>
    <t>Cargo de Plataforma de Pago</t>
  </si>
  <si>
    <t>COMPONENTES</t>
  </si>
  <si>
    <t>COSTOS</t>
  </si>
  <si>
    <r>
      <t>Costo anual de plataforma de pago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)</t>
    </r>
  </si>
  <si>
    <t>CPP / CPP(V)</t>
  </si>
  <si>
    <r>
      <t>Costo anual de tarjetas de pago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TPP</t>
    </r>
    <r>
      <rPr>
        <sz val="14"/>
        <rFont val="Arial"/>
        <family val="2"/>
      </rPr>
      <t>=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sz val="14"/>
        <rFont val="Arial"/>
        <family val="2"/>
      </rPr>
      <t>+</t>
    </r>
    <r>
      <rPr>
        <i/>
        <sz val="14"/>
        <color theme="1"/>
        <rFont val="Calibri"/>
        <family val="2"/>
        <scheme val="minor"/>
      </rPr>
      <t>C</t>
    </r>
    <r>
      <rPr>
        <b/>
        <i/>
        <vertAlign val="subscript"/>
        <sz val="14"/>
        <color theme="1"/>
        <rFont val="Calibri"/>
        <family val="2"/>
        <scheme val="minor"/>
      </rPr>
      <t>TV</t>
    </r>
    <r>
      <rPr>
        <sz val="14"/>
        <rFont val="Arial"/>
        <family val="2"/>
      </rPr>
      <t>)</t>
    </r>
  </si>
  <si>
    <t>CTP / CTP(V)</t>
  </si>
  <si>
    <t>CPP / CTPFis(V)</t>
  </si>
  <si>
    <t>TRAFICOS</t>
  </si>
  <si>
    <r>
      <t>Tráfico anual de voz manejado por plataforma (</t>
    </r>
    <r>
      <rPr>
        <i/>
        <sz val="14"/>
        <color theme="1"/>
        <rFont val="Calibri"/>
        <family val="2"/>
        <scheme val="minor"/>
      </rPr>
      <t>T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=T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TV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OTR</t>
    </r>
    <r>
      <rPr>
        <sz val="14"/>
        <rFont val="Arial"/>
        <family val="2"/>
      </rPr>
      <t>)</t>
    </r>
  </si>
  <si>
    <t>TTotalPP / TPP(V)</t>
  </si>
  <si>
    <r>
      <t>Tráfico anual de voz generado por uso de tarjetas (</t>
    </r>
    <r>
      <rPr>
        <i/>
        <sz val="12"/>
        <color theme="1"/>
        <rFont val="Calibri"/>
        <family val="2"/>
        <scheme val="minor"/>
      </rPr>
      <t>T</t>
    </r>
    <r>
      <rPr>
        <i/>
        <vertAlign val="subscript"/>
        <sz val="12"/>
        <color theme="1"/>
        <rFont val="Calibri"/>
        <family val="2"/>
        <scheme val="minor"/>
      </rPr>
      <t>TP</t>
    </r>
    <r>
      <rPr>
        <sz val="12"/>
        <rFont val="Arial"/>
        <family val="2"/>
      </rPr>
      <t>=</t>
    </r>
    <r>
      <rPr>
        <i/>
        <sz val="12"/>
        <color theme="1"/>
        <rFont val="Calibri"/>
        <family val="2"/>
        <scheme val="minor"/>
      </rPr>
      <t>T</t>
    </r>
    <r>
      <rPr>
        <i/>
        <vertAlign val="subscript"/>
        <sz val="12"/>
        <color theme="1"/>
        <rFont val="Calibri"/>
        <family val="2"/>
        <scheme val="minor"/>
      </rPr>
      <t>TF</t>
    </r>
    <r>
      <rPr>
        <i/>
        <sz val="12"/>
        <color theme="1"/>
        <rFont val="Calibri"/>
        <family val="2"/>
        <scheme val="minor"/>
      </rPr>
      <t>+T</t>
    </r>
    <r>
      <rPr>
        <i/>
        <vertAlign val="subscript"/>
        <sz val="12"/>
        <color theme="1"/>
        <rFont val="Calibri"/>
        <family val="2"/>
        <scheme val="minor"/>
      </rPr>
      <t>TV</t>
    </r>
    <r>
      <rPr>
        <sz val="12"/>
        <rFont val="Arial"/>
        <family val="2"/>
      </rPr>
      <t>)</t>
    </r>
  </si>
  <si>
    <t>Vida Útil Plataforma</t>
  </si>
  <si>
    <t>OSIPTEL</t>
  </si>
  <si>
    <t>USO PLATAFORMA</t>
  </si>
  <si>
    <t>USO TARJETAS</t>
  </si>
  <si>
    <t>Minutos Anuales</t>
  </si>
  <si>
    <t>overhead</t>
  </si>
  <si>
    <t>DATOS REPARTICION</t>
  </si>
  <si>
    <t>COSTO</t>
  </si>
  <si>
    <t>EN FUNCION AL NUMERO DE PLATAFORMAS</t>
  </si>
  <si>
    <t>abonados instalados</t>
  </si>
  <si>
    <t>abonados utilizados</t>
  </si>
  <si>
    <t>hcas instalados</t>
  </si>
  <si>
    <t>hcas utilizados</t>
  </si>
  <si>
    <t>DEMANDA ADICIONAL</t>
  </si>
  <si>
    <t>DIMENSIONAMIENTO DE CAPACIDAD</t>
  </si>
  <si>
    <t>OPEX PLATAFORMA</t>
  </si>
  <si>
    <t>OPERADOR</t>
  </si>
  <si>
    <t>SEGUNDOS</t>
  </si>
  <si>
    <t>MINUTOS</t>
  </si>
  <si>
    <t>% eventos VOZ EN HORA PICO</t>
  </si>
  <si>
    <t>TOTAL PLATAFORMA</t>
  </si>
  <si>
    <t>% de trafico minutos en hora cargada</t>
  </si>
  <si>
    <t>Cargo Fijo</t>
  </si>
  <si>
    <t>Parte Variable</t>
  </si>
  <si>
    <t>CANTIDAD DE TARJETAS COMPRADAS</t>
  </si>
  <si>
    <t>COSTO UNITARIO POR TARJETA</t>
  </si>
  <si>
    <t>Función</t>
  </si>
  <si>
    <t>NEXTEL</t>
  </si>
  <si>
    <t>TELEFÓNICA DEL PERÚ</t>
  </si>
  <si>
    <t>TELEFÓNICA MÓVILES</t>
  </si>
  <si>
    <t>AMÉRICA MÓVIL</t>
  </si>
  <si>
    <t>Cantidad de Tarjetas Producidas (Millones)</t>
  </si>
  <si>
    <t>a</t>
  </si>
  <si>
    <t>b</t>
  </si>
  <si>
    <t>c</t>
  </si>
  <si>
    <t>X</t>
  </si>
  <si>
    <t>Y</t>
  </si>
  <si>
    <t>Tráfico para Dimensionar</t>
  </si>
  <si>
    <t>por Abonados</t>
  </si>
  <si>
    <t>por Tráfico HCA</t>
  </si>
  <si>
    <t>Número de Plataformas</t>
  </si>
  <si>
    <t>Abonados</t>
  </si>
  <si>
    <t>Abonados para Dimensionar</t>
  </si>
  <si>
    <t>Tráfico (HCA)</t>
  </si>
  <si>
    <t>Precio Unitario</t>
  </si>
  <si>
    <t>Sub Total</t>
  </si>
  <si>
    <t>OPEX RED Y SISTEMAS</t>
  </si>
  <si>
    <t>Gasto Anual</t>
  </si>
  <si>
    <t>INVERSIÓN</t>
  </si>
  <si>
    <t>CPP(V) (CAPEX + OPEX)</t>
  </si>
  <si>
    <t>PCT Prepago (Ingresos)</t>
  </si>
  <si>
    <t>Cargo</t>
  </si>
  <si>
    <r>
      <t>Costo anual de tarjeta de pago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TF</t>
    </r>
    <r>
      <rPr>
        <sz val="10"/>
        <rFont val="Arial"/>
        <family val="2"/>
      </rPr>
      <t>)</t>
    </r>
  </si>
  <si>
    <t>Cantidad de Sistemas</t>
  </si>
  <si>
    <t>Cantidad de Plataformas</t>
  </si>
  <si>
    <t>Costo de Sistemas</t>
  </si>
  <si>
    <t>Costo Plataforma</t>
  </si>
  <si>
    <t>Plataforma</t>
  </si>
  <si>
    <t>Sistemas</t>
  </si>
  <si>
    <t>Costo por Tarjeta (US$)</t>
  </si>
  <si>
    <t>Preciario Telefónica Móviles</t>
  </si>
  <si>
    <t>CAPACIDAD DE UNA PLATAFORMA</t>
  </si>
  <si>
    <t>Resumen por Linea</t>
  </si>
  <si>
    <t>Porcentaje</t>
  </si>
  <si>
    <t>INVERSIÓN EN RED</t>
  </si>
  <si>
    <t>INVERSIÓN EN SISTEMAS</t>
  </si>
  <si>
    <t>OPERACIÓN RED Y SISTEMAS</t>
  </si>
  <si>
    <t>Duración Media Llamada</t>
  </si>
  <si>
    <t>INFORMACIÓN MENSUAL REPORTADA</t>
  </si>
  <si>
    <t>Total Sin fijo</t>
  </si>
  <si>
    <t>DURACION MEDIA CLARO (CARGO MOVIL)</t>
  </si>
</sst>
</file>

<file path=xl/styles.xml><?xml version="1.0" encoding="utf-8"?>
<styleSheet xmlns="http://schemas.openxmlformats.org/spreadsheetml/2006/main">
  <numFmts count="101">
    <numFmt numFmtId="41" formatCode="_ * #,##0_ ;_ * \-#,##0_ ;_ * &quot;-&quot;_ ;_ @_ "/>
    <numFmt numFmtId="43" formatCode="_ * #,##0.00_ ;_ * \-#,##0.00_ ;_ * &quot;-&quot;??_ ;_ @_ "/>
    <numFmt numFmtId="164" formatCode="#,##0_ ;[Red]\-#,##0\ "/>
    <numFmt numFmtId="165" formatCode="_ * #,##0_ ;_ * \-#,##0_ ;_ * &quot;-&quot;??_ ;_ @_ "/>
    <numFmt numFmtId="166" formatCode="#,##0_ ;\-#,##0\ "/>
    <numFmt numFmtId="167" formatCode="_(* #,##0_);_(* \(#,##0\);_(* &quot;-&quot;??_);_(@_)"/>
    <numFmt numFmtId="168" formatCode="0.0%"/>
    <numFmt numFmtId="169" formatCode="#,##0.0000"/>
    <numFmt numFmtId="170" formatCode="0000"/>
    <numFmt numFmtId="171" formatCode="000000"/>
    <numFmt numFmtId="172" formatCode="#,##0,;\-#,##0,"/>
    <numFmt numFmtId="173" formatCode="#,##0.0,,,_);\(#,##0.0,,,\)"/>
    <numFmt numFmtId="174" formatCode="#,##0.0_);\(#,##0.0\)"/>
    <numFmt numFmtId="175" formatCode="_(* #,##0.0000_);_(* \(#,##0.0000\);_(* &quot;-&quot;??_);_(@_)"/>
    <numFmt numFmtId="176" formatCode="_(&quot;S/.&quot;* #,##0.00_);_(&quot;S/.&quot;* \(#,##0.00\);_(&quot;S/.&quot;* &quot;-&quot;??_);_(@_)"/>
    <numFmt numFmtId="177" formatCode="0.0%;\(0.0%\)"/>
    <numFmt numFmtId="178" formatCode="_-* #,##0\ _P_t_s_-;\-* #,##0\ _P_t_s_-;_-* &quot;-&quot;\ _P_t_s_-;_-@_-"/>
    <numFmt numFmtId="179" formatCode="_(* #,##0.0_);_(* \(#,##0.0\);_(* &quot;-&quot;?_);_(@_)"/>
    <numFmt numFmtId="180" formatCode="_(&quot;S/.&quot;* #,##0,_);_(&quot;S/.&quot;* \(#,##0,\)"/>
    <numFmt numFmtId="181" formatCode="&quot;S/.&quot;#,##0\ ;\(&quot;S/.&quot;#,##0\)"/>
    <numFmt numFmtId="182" formatCode="0.0%\ "/>
    <numFmt numFmtId="183" formatCode="0.0_);\(0.0\)"/>
    <numFmt numFmtId="184" formatCode="#,##0.00\ "/>
    <numFmt numFmtId="185" formatCode="0_);\(0\)"/>
    <numFmt numFmtId="186" formatCode="#,##0.0\ "/>
    <numFmt numFmtId="187" formatCode="mmmm\ d\,\ yyyy"/>
    <numFmt numFmtId="188" formatCode="0%\ \ \ \ \ "/>
    <numFmt numFmtId="189" formatCode="0.00_);\(0.00\)"/>
    <numFmt numFmtId="190" formatCode="_(* #,##0.0_);_(* \(#,##0.0\);_(* &quot;-&quot;??_);_(@_)"/>
    <numFmt numFmtId="191" formatCode="_ [$€]* #,##0.00_ ;_ [$€]* \-#,##0.00_ ;_ [$€]* &quot;-&quot;??_ ;_ @_ "/>
    <numFmt numFmtId="192" formatCode="_(&quot;S/.&quot;* #,##0.0_);_(&quot;S/.&quot;* \(#,##0.0\);_(&quot;S/.&quot;* &quot;-&quot;??_);_(@_)"/>
    <numFmt numFmtId="193" formatCode=";;;"/>
    <numFmt numFmtId="194" formatCode="_-* #,##0\ _F_B_-;\-* #,##0\ _F_B_-;_-* &quot;-&quot;\ _F_B_-;_-@_-"/>
    <numFmt numFmtId="195" formatCode="_-* #,##0.00\ _F_B_-;\-* #,##0.00\ _F_B_-;_-* &quot;-&quot;??\ _F_B_-;_-@_-"/>
    <numFmt numFmtId="196" formatCode="_-* #,##0\ _F_-;\-* #,##0\ _F_-;_-* &quot;-&quot;\ _F_-;_-@_-"/>
    <numFmt numFmtId="197" formatCode="_-* #,##0.00\ _F_-;\-* #,##0.00\ _F_-;_-* &quot;-&quot;??\ _F_-;_-@_-"/>
    <numFmt numFmtId="198" formatCode="#,##0.0,,_);\(#,##0.0,,\)"/>
    <numFmt numFmtId="199" formatCode="_(&quot;R$ &quot;* #,##0_);_(&quot;R$ &quot;* \(#,##0\);_(&quot;R$ &quot;* &quot;-&quot;_);_(@_)"/>
    <numFmt numFmtId="200" formatCode="_(&quot;R$ &quot;* #,##0.00_);_(&quot;R$ &quot;* \(#,##0.00\);_(&quot;R$ &quot;* &quot;-&quot;??_);_(@_)"/>
    <numFmt numFmtId="201" formatCode="#,##0.0\ \P;[Red]\-#,##0.0\ \P"/>
    <numFmt numFmtId="202" formatCode="0.00_)"/>
    <numFmt numFmtId="203" formatCode="0.0"/>
    <numFmt numFmtId="204" formatCode="&quot;S/.&quot;#,##0_);\(&quot;S/.&quot;#,##0\)"/>
    <numFmt numFmtId="205" formatCode="#,##0.0,_);\(#,##0.0,\)"/>
    <numFmt numFmtId="206" formatCode="_(* #,##0,_);_(* \(#,##0,\)"/>
    <numFmt numFmtId="207" formatCode="_-* #,##0\ &quot;FB&quot;_-;\-* #,##0\ &quot;FB&quot;_-;_-* &quot;-&quot;\ &quot;FB&quot;_-;_-@_-"/>
    <numFmt numFmtId="208" formatCode="0.0000"/>
    <numFmt numFmtId="209" formatCode="_-[$$-409]* #,##0.00_ ;_-[$$-409]* \-#,##0.00\ ;_-[$$-409]* &quot;-&quot;??_ ;_-@_ "/>
    <numFmt numFmtId="210" formatCode="0.00000000"/>
    <numFmt numFmtId="211" formatCode="#,##0.00000000000"/>
    <numFmt numFmtId="212" formatCode="#,##0.00_ ;[Red]\-#,##0.00\ "/>
    <numFmt numFmtId="213" formatCode="_(&quot;$&quot;* #,##0.00_);_(&quot;$&quot;* \(#,##0.00\);_(&quot;$&quot;* &quot;-&quot;??_);_(@_)"/>
    <numFmt numFmtId="214" formatCode="_-* #,##0_-;\-* #,##0_-;_-* &quot;-&quot;??_-;_-@_-"/>
    <numFmt numFmtId="215" formatCode="0.00000"/>
    <numFmt numFmtId="216" formatCode="_ * #,##0.0000_ ;_ * \-#,##0.0000_ ;_ * &quot;-&quot;??_ ;_ @_ "/>
    <numFmt numFmtId="217" formatCode="0.000%"/>
    <numFmt numFmtId="218" formatCode="mmm/yyyy"/>
    <numFmt numFmtId="219" formatCode="#,##0.00_);[Red]\-#,##0.00_);0.00_);@_)"/>
    <numFmt numFmtId="220" formatCode="#,##0;;"/>
    <numFmt numFmtId="221" formatCode="* _(#,##0.00_);[Red]* \(#,##0.00\);* _(&quot;-&quot;?_);@_)"/>
    <numFmt numFmtId="222" formatCode="_(&quot;$&quot;* #,##0_);_(&quot;$&quot;* \(#,##0\);_(&quot;$&quot;* &quot;-&quot;_);_(@_)"/>
    <numFmt numFmtId="223" formatCode="\$\ * _(#,##0_);[Red]\$\ * \(#,##0\);\$\ * _(&quot;-&quot;?_);@_)"/>
    <numFmt numFmtId="224" formatCode="\$\ * _(#,##0.00_);[Red]\$\ * \(#,##0.00\);\$\ * _(&quot;-&quot;?_);@_)"/>
    <numFmt numFmtId="225" formatCode="[$EUR]\ * _(#,##0_);[Red][$EUR]\ * \(#,##0\);[$EUR]\ * _(&quot;-&quot;?_);@_)"/>
    <numFmt numFmtId="226" formatCode="[$EUR]\ * _(#,##0.00_);[Red][$EUR]\ * \(#,##0.00\);[$EUR]\ * _(&quot;-&quot;?_);@_)"/>
    <numFmt numFmtId="227" formatCode="\€\ * _(#,##0_);[Red]\€\ * \(#,##0\);\€\ * _(&quot;-&quot;?_);@_)"/>
    <numFmt numFmtId="228" formatCode="\€\ * _(#,##0.00_);[Red]\€\ * \(#,##0.00\);\€\ * _(&quot;-&quot;?_);@_)"/>
    <numFmt numFmtId="229" formatCode="[$GBP]\ * _(#,##0_);[Red][$GBP]\ * \(#,##0\);[$GBP]\ * _(&quot;-&quot;?_);@_)"/>
    <numFmt numFmtId="230" formatCode="[$GBP]\ * _(#,##0.00_);[Red][$GBP]\ * \(#,##0.00\);[$GBP]\ * _(&quot;-&quot;?_);@_)"/>
    <numFmt numFmtId="231" formatCode="\£\ * _(#,##0_);[Red]\£\ * \(#,##0\);\£\ * _(&quot;-&quot;?_);@_)"/>
    <numFmt numFmtId="232" formatCode="\£\ * _(#,##0.00_);[Red]\£\ * \(#,##0.00\);\£\ * _(&quot;-&quot;?_);@_)"/>
    <numFmt numFmtId="233" formatCode="[$USD]\ * _(#,##0_);[Red][$USD]\ * \(#,##0\);[$USD]\ * _(&quot;-&quot;?_);@_)"/>
    <numFmt numFmtId="234" formatCode="[$USD]\ * _(#,##0.00_);[Red][$USD]\ * \(#,##0.00\);[$USD]\ * _(&quot;-&quot;?_);@_)"/>
    <numFmt numFmtId="235" formatCode="mmm\ yy_)"/>
    <numFmt numFmtId="236" formatCode="yyyy_)"/>
    <numFmt numFmtId="237" formatCode="#,##0.0"/>
    <numFmt numFmtId="238" formatCode="#,##0_);[Red]\-#,##0_);0_);@_)"/>
    <numFmt numFmtId="239" formatCode="#,###"/>
    <numFmt numFmtId="240" formatCode="#,##0;[Red]&quot;-&quot;#,##0"/>
    <numFmt numFmtId="241" formatCode="_(* #,##0.00_);_(* \(#,##0.00\);_(* &quot;-&quot;??_);_(@_)"/>
    <numFmt numFmtId="242" formatCode="#,##0.0;\-#,##0.0;&quot;-&quot;"/>
    <numFmt numFmtId="243" formatCode="&quot;S/.&quot;#,##0.00;[Red]&quot;S/.&quot;\-#,##0.00"/>
    <numFmt numFmtId="244" formatCode="_-* #,##0\ &quot;F&quot;_-;\-* #,##0\ &quot;F&quot;_-;_-* &quot;-&quot;\ &quot;F&quot;_-;_-@_-"/>
    <numFmt numFmtId="245" formatCode="_-* #,##0.00\ &quot;F&quot;_-;\-* #,##0.00\ &quot;F&quot;_-;_-* &quot;-&quot;??\ &quot;F&quot;_-;_-@_-"/>
    <numFmt numFmtId="246" formatCode="\$#,"/>
    <numFmt numFmtId="247" formatCode="0%;[Red]\-0%"/>
    <numFmt numFmtId="248" formatCode="#,##0.00%;[Red]\-#,##0.00%;0.00%;@_)"/>
    <numFmt numFmtId="249" formatCode="#,##0%;[Red]\-#,##0%;0%;@_)"/>
    <numFmt numFmtId="250" formatCode="#.##000"/>
    <numFmt numFmtId="251" formatCode="#.##0,"/>
    <numFmt numFmtId="252" formatCode="mm/dd/yy"/>
    <numFmt numFmtId="253" formatCode="\(#,##0\);;"/>
    <numFmt numFmtId="254" formatCode="0.00%;[Red]\-0.00%"/>
    <numFmt numFmtId="255" formatCode="\ #"/>
    <numFmt numFmtId="256" formatCode="&quot;$&quot;#,##0_);[Red]\(&quot;$&quot;#,##0\)"/>
    <numFmt numFmtId="257" formatCode="_-&quot;£&quot;* #,##0.00_-;\-&quot;£&quot;* #,##0.00_-;_-&quot;£&quot;* &quot;-&quot;??_-;_-@_-"/>
    <numFmt numFmtId="258" formatCode="_(* #,##0_);_(* \(#,##0\);_(* &quot;-&quot;_);_(@_)"/>
    <numFmt numFmtId="259" formatCode="_ * #,##0.0_ ;_ * \-#,##0.0_ ;_ * &quot;-&quot;?_ ;_ @_ "/>
    <numFmt numFmtId="260" formatCode="#,##0.00000"/>
    <numFmt numFmtId="261" formatCode="#,##0.0000000000000"/>
    <numFmt numFmtId="262" formatCode="#,##0.000000000000000000"/>
  </numFmts>
  <fonts count="18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Garamond"/>
      <family val="1"/>
    </font>
    <font>
      <sz val="11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2"/>
      <name val="Garamond"/>
      <family val="1"/>
    </font>
    <font>
      <sz val="11"/>
      <color indexed="8"/>
      <name val="Calibri"/>
      <family val="2"/>
    </font>
    <font>
      <sz val="12"/>
      <color indexed="9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sz val="9"/>
      <name val="Trebuchet MS"/>
      <family val="2"/>
    </font>
    <font>
      <b/>
      <sz val="12"/>
      <color indexed="18"/>
      <name val="Garamond"/>
      <family val="1"/>
    </font>
    <font>
      <sz val="10"/>
      <color indexed="8"/>
      <name val="Arial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0"/>
      <name val="Helv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9"/>
      <name val="Arial"/>
      <family val="2"/>
      <charset val="177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color indexed="24"/>
      <name val="Arial"/>
      <family val="2"/>
    </font>
    <font>
      <sz val="10"/>
      <name val="BERNHARD"/>
    </font>
    <font>
      <sz val="9"/>
      <name val="Arial"/>
      <family val="2"/>
    </font>
    <font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i/>
      <sz val="6"/>
      <name val="Times New Roman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56"/>
      <name val="Calibri"/>
      <family val="2"/>
    </font>
    <font>
      <sz val="12"/>
      <name val="Arial"/>
      <family val="2"/>
      <charset val="177"/>
    </font>
    <font>
      <sz val="11"/>
      <color indexed="62"/>
      <name val="Calibri"/>
      <family val="2"/>
    </font>
    <font>
      <sz val="12"/>
      <name val="Helv"/>
    </font>
    <font>
      <sz val="10"/>
      <name val="Geneva"/>
    </font>
    <font>
      <sz val="10"/>
      <name val="Arial"/>
      <family val="2"/>
      <charset val="177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0"/>
      <name val="Arial CE"/>
      <charset val="238"/>
    </font>
    <font>
      <sz val="12"/>
      <name val="Arial"/>
      <family val="2"/>
    </font>
    <font>
      <i/>
      <sz val="9"/>
      <color indexed="12"/>
      <name val="Helv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MS Sans Serif"/>
      <family val="2"/>
    </font>
    <font>
      <sz val="8"/>
      <name val="Helv"/>
    </font>
    <font>
      <sz val="7"/>
      <name val="Geneva"/>
    </font>
    <font>
      <b/>
      <sz val="8"/>
      <name val="Arial"/>
      <family val="2"/>
    </font>
    <font>
      <b/>
      <sz val="8"/>
      <name val="Times New Roman"/>
      <family val="1"/>
    </font>
    <font>
      <sz val="10"/>
      <name val="Comic Sans MS"/>
      <family val="4"/>
    </font>
    <font>
      <b/>
      <sz val="18"/>
      <color indexed="56"/>
      <name val="Cambria"/>
      <family val="2"/>
    </font>
    <font>
      <b/>
      <sz val="16"/>
      <color indexed="62"/>
      <name val="Arial"/>
      <family val="2"/>
    </font>
    <font>
      <sz val="11"/>
      <color indexed="10"/>
      <name val="Calibri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Garamond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12"/>
      <color rgb="FFFF0000"/>
      <name val="Garamond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8"/>
      <name val="Verdana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Helv"/>
      <charset val="204"/>
    </font>
    <font>
      <sz val="10"/>
      <name val="Geneva"/>
      <family val="2"/>
    </font>
    <font>
      <sz val="10"/>
      <name val="TheSansCorrespondence"/>
      <family val="2"/>
    </font>
    <font>
      <sz val="10"/>
      <color indexed="10"/>
      <name val="Times New Roman"/>
      <family val="1"/>
    </font>
    <font>
      <b/>
      <sz val="12"/>
      <color indexed="12"/>
      <name val="Times New Roman"/>
      <family val="1"/>
      <charset val="177"/>
    </font>
    <font>
      <sz val="9"/>
      <color indexed="8"/>
      <name val="Arial"/>
      <family val="2"/>
    </font>
    <font>
      <i/>
      <sz val="9"/>
      <color indexed="55"/>
      <name val="Arial"/>
      <family val="2"/>
    </font>
    <font>
      <sz val="9"/>
      <name val="Helv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indexed="56"/>
      <name val="Palatino"/>
      <family val="1"/>
    </font>
    <font>
      <sz val="8"/>
      <color indexed="12"/>
      <name val="Tahoma"/>
      <family val="2"/>
    </font>
    <font>
      <sz val="10"/>
      <name val="MS Serif"/>
      <family val="1"/>
    </font>
    <font>
      <b/>
      <sz val="14"/>
      <color indexed="9"/>
      <name val="Arial"/>
      <family val="2"/>
    </font>
    <font>
      <sz val="10"/>
      <name val="Courier"/>
      <family val="3"/>
    </font>
    <font>
      <b/>
      <sz val="8"/>
      <name val="Helv"/>
    </font>
    <font>
      <sz val="10"/>
      <color indexed="16"/>
      <name val="MS Serif"/>
      <family val="1"/>
    </font>
    <font>
      <b/>
      <sz val="22"/>
      <name val="Arial"/>
      <family val="2"/>
    </font>
    <font>
      <b/>
      <sz val="18"/>
      <name val="Arial"/>
      <family val="2"/>
    </font>
    <font>
      <sz val="18"/>
      <name val="MS Sans Serif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9"/>
      <color indexed="39"/>
      <name val="Arial"/>
      <family val="2"/>
    </font>
    <font>
      <sz val="9"/>
      <color indexed="12"/>
      <name val="Arial"/>
      <family val="2"/>
    </font>
    <font>
      <b/>
      <sz val="9"/>
      <color indexed="18"/>
      <name val="Arial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i/>
      <sz val="10"/>
      <color indexed="16"/>
      <name val="Times New Roman"/>
      <family val="1"/>
    </font>
    <font>
      <sz val="10"/>
      <color theme="1"/>
      <name val="Helvetica"/>
    </font>
    <font>
      <b/>
      <sz val="9"/>
      <name val="Helvetica"/>
      <family val="2"/>
    </font>
    <font>
      <i/>
      <sz val="9"/>
      <name val="Arial"/>
      <family val="2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b/>
      <sz val="12"/>
      <color indexed="9"/>
      <name val="Arial"/>
      <family val="2"/>
    </font>
    <font>
      <b/>
      <sz val="12"/>
      <color indexed="56"/>
      <name val="Arial"/>
      <family val="2"/>
    </font>
    <font>
      <b/>
      <sz val="14"/>
      <name val="Times New Roman"/>
      <family val="1"/>
    </font>
    <font>
      <b/>
      <sz val="14"/>
      <name val="Palatino"/>
      <family val="1"/>
    </font>
    <font>
      <b/>
      <sz val="10"/>
      <color indexed="12"/>
      <name val="Arial"/>
      <family val="2"/>
    </font>
    <font>
      <b/>
      <i/>
      <sz val="10"/>
      <color indexed="8"/>
      <name val="Arial"/>
      <family val="2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u/>
      <sz val="11"/>
      <name val="Helvetica"/>
      <family val="2"/>
    </font>
    <font>
      <b/>
      <sz val="12"/>
      <name val="Helvetica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10"/>
      <color indexed="18"/>
      <name val="Helv"/>
    </font>
    <font>
      <sz val="8"/>
      <color indexed="12"/>
      <name val="Arial"/>
      <family val="2"/>
    </font>
    <font>
      <b/>
      <sz val="16"/>
      <color indexed="9"/>
      <name val="Arial"/>
      <family val="2"/>
    </font>
    <font>
      <sz val="10"/>
      <name val="Helvetica"/>
      <family val="2"/>
    </font>
    <font>
      <sz val="10"/>
      <color theme="0"/>
      <name val="Arial"/>
      <family val="2"/>
    </font>
    <font>
      <sz val="14"/>
      <name val="Arial"/>
      <family val="2"/>
    </font>
    <font>
      <i/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2"/>
      <color theme="0"/>
      <name val="Garamond"/>
      <family val="1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Garamond"/>
      <family val="1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8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35">
    <xf numFmtId="0" fontId="0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13" fillId="2" borderId="0"/>
    <xf numFmtId="0" fontId="19" fillId="0" borderId="0" applyNumberFormat="0" applyFill="0" applyBorder="0" applyAlignment="0" applyProtection="0"/>
    <xf numFmtId="0" fontId="13" fillId="0" borderId="0"/>
    <xf numFmtId="170" fontId="20" fillId="0" borderId="0">
      <alignment horizontal="left"/>
    </xf>
    <xf numFmtId="171" fontId="21" fillId="0" borderId="0">
      <alignment horizontal="left"/>
    </xf>
    <xf numFmtId="0" fontId="22" fillId="0" borderId="0">
      <alignment horizontal="left" vertical="center"/>
      <protection locked="0"/>
    </xf>
    <xf numFmtId="2" fontId="23" fillId="0" borderId="0">
      <alignment horizontal="left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4" fillId="0" borderId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0" borderId="0">
      <protection locked="0"/>
    </xf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0"/>
    <xf numFmtId="0" fontId="26" fillId="0" borderId="0">
      <alignment horizontal="center" wrapText="1"/>
      <protection locked="0"/>
    </xf>
    <xf numFmtId="172" fontId="13" fillId="0" borderId="0" applyFont="0" applyFill="0" applyBorder="0" applyAlignment="0" applyProtection="0"/>
    <xf numFmtId="0" fontId="27" fillId="4" borderId="0" applyNumberFormat="0" applyBorder="0" applyAlignment="0" applyProtection="0"/>
    <xf numFmtId="173" fontId="28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13" fillId="0" borderId="0"/>
    <xf numFmtId="0" fontId="13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0" fontId="29" fillId="21" borderId="1" applyNumberFormat="0" applyAlignment="0" applyProtection="0"/>
    <xf numFmtId="0" fontId="72" fillId="0" borderId="0"/>
    <xf numFmtId="0" fontId="30" fillId="0" borderId="0"/>
    <xf numFmtId="0" fontId="31" fillId="22" borderId="2" applyNumberFormat="0" applyAlignment="0" applyProtection="0"/>
    <xf numFmtId="176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39" fontId="13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3" fillId="0" borderId="0"/>
    <xf numFmtId="0" fontId="24" fillId="0" borderId="0"/>
    <xf numFmtId="0" fontId="33" fillId="0" borderId="0"/>
    <xf numFmtId="0" fontId="24" fillId="0" borderId="0"/>
    <xf numFmtId="174" fontId="24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37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4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4" fontId="16" fillId="0" borderId="0" applyFill="0" applyBorder="0" applyAlignment="0"/>
    <xf numFmtId="15" fontId="34" fillId="0" borderId="0" applyFont="0" applyFill="0" applyBorder="0" applyAlignment="0">
      <alignment horizontal="left"/>
    </xf>
    <xf numFmtId="49" fontId="35" fillId="23" borderId="4">
      <alignment vertical="center" wrapText="1"/>
    </xf>
    <xf numFmtId="0" fontId="36" fillId="0" borderId="0">
      <protection locked="0"/>
    </xf>
    <xf numFmtId="0" fontId="13" fillId="0" borderId="0"/>
    <xf numFmtId="0" fontId="37" fillId="0" borderId="0">
      <protection locked="0"/>
    </xf>
    <xf numFmtId="0" fontId="37" fillId="0" borderId="0">
      <protection locked="0"/>
    </xf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3" fontId="38" fillId="0" borderId="0" applyNumberFormat="0" applyFill="0" applyBorder="0" applyProtection="0">
      <protection locked="0"/>
    </xf>
    <xf numFmtId="0" fontId="16" fillId="0" borderId="0">
      <alignment vertical="top"/>
    </xf>
    <xf numFmtId="191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3" fontId="13" fillId="0" borderId="0" applyFont="0" applyFill="0" applyAlignment="0" applyProtection="0"/>
    <xf numFmtId="0" fontId="36" fillId="0" borderId="0">
      <protection locked="0"/>
    </xf>
    <xf numFmtId="3" fontId="13" fillId="0" borderId="0" applyFont="0" applyFill="0" applyBorder="0" applyAlignment="0" applyProtection="0"/>
    <xf numFmtId="2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38" fontId="35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192" fontId="42" fillId="0" borderId="0" applyNumberFormat="0" applyFill="0" applyBorder="0" applyProtection="0">
      <alignment horizontal="right"/>
    </xf>
    <xf numFmtId="0" fontId="43" fillId="0" borderId="5" applyNumberFormat="0" applyAlignment="0" applyProtection="0">
      <alignment horizontal="left" vertical="center"/>
    </xf>
    <xf numFmtId="0" fontId="43" fillId="0" borderId="6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6" fillId="0" borderId="0" applyNumberFormat="0" applyFill="0" applyBorder="0" applyAlignment="0" applyProtection="0"/>
    <xf numFmtId="193" fontId="4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8" fillId="8" borderId="1" applyNumberFormat="0" applyAlignment="0" applyProtection="0"/>
    <xf numFmtId="10" fontId="35" fillId="25" borderId="4" applyNumberFormat="0" applyBorder="0" applyAlignment="0" applyProtection="0"/>
    <xf numFmtId="174" fontId="49" fillId="26" borderId="0"/>
    <xf numFmtId="0" fontId="48" fillId="8" borderId="1" applyNumberFormat="0" applyAlignment="0" applyProtection="0"/>
    <xf numFmtId="0" fontId="50" fillId="0" borderId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38" fontId="51" fillId="27" borderId="4" applyNumberFormat="0" applyFont="0" applyAlignment="0" applyProtection="0"/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0" fontId="52" fillId="0" borderId="3" applyNumberFormat="0" applyFill="0" applyAlignment="0" applyProtection="0"/>
    <xf numFmtId="174" fontId="13" fillId="28" borderId="0"/>
    <xf numFmtId="0" fontId="13" fillId="29" borderId="0" applyNumberFormat="0" applyFont="0" applyAlignment="0"/>
    <xf numFmtId="0" fontId="13" fillId="30" borderId="8" applyNumberFormat="0" applyFont="0" applyAlignment="0"/>
    <xf numFmtId="43" fontId="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54" fillId="0" borderId="9"/>
    <xf numFmtId="199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13" fontId="1" fillId="0" borderId="0" applyFont="0" applyFill="0" applyBorder="0" applyAlignment="0" applyProtection="0"/>
    <xf numFmtId="0" fontId="36" fillId="0" borderId="0">
      <protection locked="0"/>
    </xf>
    <xf numFmtId="201" fontId="13" fillId="0" borderId="10" applyBorder="0" applyAlignment="0" applyProtection="0">
      <alignment horizontal="center"/>
    </xf>
    <xf numFmtId="37" fontId="55" fillId="0" borderId="0"/>
    <xf numFmtId="202" fontId="56" fillId="0" borderId="0"/>
    <xf numFmtId="0" fontId="13" fillId="0" borderId="0"/>
    <xf numFmtId="0" fontId="14" fillId="0" borderId="0"/>
    <xf numFmtId="0" fontId="13" fillId="0" borderId="0"/>
    <xf numFmtId="38" fontId="28" fillId="0" borderId="0" applyNumberFormat="0" applyFill="0" applyBorder="0" applyAlignment="0" applyProtection="0"/>
    <xf numFmtId="0" fontId="13" fillId="0" borderId="0"/>
    <xf numFmtId="0" fontId="57" fillId="0" borderId="0"/>
    <xf numFmtId="0" fontId="13" fillId="31" borderId="11" applyNumberFormat="0" applyFont="0" applyAlignment="0" applyProtection="0"/>
    <xf numFmtId="185" fontId="58" fillId="23" borderId="12" applyFont="0" applyFill="0" applyBorder="0" applyAlignment="0">
      <alignment wrapText="1"/>
    </xf>
    <xf numFmtId="0" fontId="59" fillId="0" borderId="0" applyNumberFormat="0" applyAlignment="0">
      <alignment vertical="top"/>
    </xf>
    <xf numFmtId="203" fontId="50" fillId="0" borderId="4" applyFill="0" applyBorder="0" applyAlignment="0" applyProtection="0"/>
    <xf numFmtId="0" fontId="60" fillId="21" borderId="13" applyNumberFormat="0" applyAlignment="0" applyProtection="0"/>
    <xf numFmtId="14" fontId="26" fillId="0" borderId="0">
      <alignment horizontal="center" wrapText="1"/>
      <protection locked="0"/>
    </xf>
    <xf numFmtId="16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61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204" fontId="34" fillId="23" borderId="4">
      <alignment vertical="center"/>
    </xf>
    <xf numFmtId="171" fontId="62" fillId="0" borderId="0" applyNumberFormat="0" applyFill="0" applyBorder="0" applyProtection="0">
      <alignment horizontal="left" indent="2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3" fillId="0" borderId="9">
      <alignment horizontal="center"/>
    </xf>
    <xf numFmtId="3" fontId="53" fillId="0" borderId="0" applyFont="0" applyFill="0" applyBorder="0" applyAlignment="0" applyProtection="0"/>
    <xf numFmtId="0" fontId="53" fillId="32" borderId="0" applyNumberFormat="0" applyFont="0" applyBorder="0" applyAlignment="0" applyProtection="0"/>
    <xf numFmtId="49" fontId="34" fillId="0" borderId="0">
      <alignment horizontal="right"/>
    </xf>
    <xf numFmtId="38" fontId="64" fillId="0" borderId="0"/>
    <xf numFmtId="0" fontId="65" fillId="0" borderId="0"/>
    <xf numFmtId="3" fontId="35" fillId="0" borderId="0"/>
    <xf numFmtId="0" fontId="17" fillId="0" borderId="0"/>
    <xf numFmtId="0" fontId="54" fillId="0" borderId="0"/>
    <xf numFmtId="185" fontId="13" fillId="0" borderId="14" applyNumberFormat="0" applyFont="0"/>
    <xf numFmtId="0" fontId="22" fillId="0" borderId="0" applyNumberFormat="0"/>
    <xf numFmtId="185" fontId="66" fillId="0" borderId="0" applyNumberFormat="0">
      <alignment horizontal="centerContinuous"/>
    </xf>
    <xf numFmtId="185" fontId="13" fillId="0" borderId="0" applyNumberFormat="0" applyAlignment="0"/>
    <xf numFmtId="185" fontId="22" fillId="0" borderId="0">
      <alignment horizontal="centerContinuous"/>
    </xf>
    <xf numFmtId="0" fontId="67" fillId="0" borderId="0"/>
    <xf numFmtId="49" fontId="16" fillId="0" borderId="0" applyFill="0" applyBorder="0" applyAlignment="0"/>
    <xf numFmtId="0" fontId="13" fillId="0" borderId="0" applyFill="0" applyBorder="0" applyAlignment="0"/>
    <xf numFmtId="0" fontId="68" fillId="0" borderId="0" applyFill="0" applyBorder="0" applyAlignment="0"/>
    <xf numFmtId="205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3" fontId="70" fillId="0" borderId="0"/>
    <xf numFmtId="0" fontId="22" fillId="0" borderId="15">
      <alignment horizontal="right" wrapText="1"/>
    </xf>
    <xf numFmtId="0" fontId="22" fillId="0" borderId="16" applyNumberFormat="0"/>
    <xf numFmtId="185" fontId="13" fillId="0" borderId="0" applyNumberFormat="0" applyFill="0" applyBorder="0" applyAlignment="0" applyProtection="0"/>
    <xf numFmtId="207" fontId="13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/>
    <xf numFmtId="9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79" fillId="0" borderId="0">
      <alignment vertical="top"/>
    </xf>
    <xf numFmtId="9" fontId="92" fillId="0" borderId="0" applyFont="0" applyFill="0" applyBorder="0" applyAlignment="0" applyProtection="0"/>
    <xf numFmtId="0" fontId="13" fillId="0" borderId="0"/>
    <xf numFmtId="0" fontId="13" fillId="0" borderId="0"/>
    <xf numFmtId="0" fontId="10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1" fillId="0" borderId="0" applyNumberFormat="0" applyFill="0" applyBorder="0" applyAlignment="0" applyProtection="0">
      <alignment vertical="top"/>
    </xf>
    <xf numFmtId="0" fontId="10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top"/>
    </xf>
    <xf numFmtId="0" fontId="104" fillId="0" borderId="24" applyBorder="0">
      <alignment horizontal="left"/>
    </xf>
    <xf numFmtId="0" fontId="50" fillId="0" borderId="0"/>
    <xf numFmtId="0" fontId="13" fillId="0" borderId="0"/>
    <xf numFmtId="0" fontId="13" fillId="0" borderId="0" applyFill="0" applyBorder="0"/>
    <xf numFmtId="0" fontId="19" fillId="0" borderId="0"/>
    <xf numFmtId="0" fontId="19" fillId="0" borderId="0"/>
    <xf numFmtId="0" fontId="17" fillId="0" borderId="0"/>
    <xf numFmtId="0" fontId="13" fillId="0" borderId="0"/>
    <xf numFmtId="0" fontId="13" fillId="0" borderId="0"/>
    <xf numFmtId="0" fontId="105" fillId="0" borderId="0"/>
    <xf numFmtId="0" fontId="13" fillId="0" borderId="0" applyFill="0" applyBorder="0"/>
    <xf numFmtId="0" fontId="50" fillId="0" borderId="0"/>
    <xf numFmtId="0" fontId="13" fillId="0" borderId="0"/>
    <xf numFmtId="0" fontId="13" fillId="0" borderId="0"/>
    <xf numFmtId="0" fontId="50" fillId="0" borderId="0"/>
    <xf numFmtId="0" fontId="24" fillId="0" borderId="0"/>
    <xf numFmtId="0" fontId="57" fillId="0" borderId="0"/>
    <xf numFmtId="0" fontId="18" fillId="0" borderId="0" applyNumberFormat="0" applyFill="0" applyBorder="0" applyAlignment="0" applyProtection="0"/>
    <xf numFmtId="0" fontId="13" fillId="0" borderId="0" applyFill="0" applyBorder="0"/>
    <xf numFmtId="0" fontId="17" fillId="0" borderId="0"/>
    <xf numFmtId="0" fontId="50" fillId="0" borderId="0"/>
    <xf numFmtId="0" fontId="50" fillId="0" borderId="0"/>
    <xf numFmtId="0" fontId="17" fillId="0" borderId="0"/>
    <xf numFmtId="0" fontId="13" fillId="0" borderId="0"/>
    <xf numFmtId="0" fontId="24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06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0"/>
    <xf numFmtId="0" fontId="50" fillId="0" borderId="0"/>
    <xf numFmtId="0" fontId="107" fillId="0" borderId="0"/>
    <xf numFmtId="0" fontId="13" fillId="0" borderId="0" applyFill="0" applyBorder="0"/>
    <xf numFmtId="0" fontId="50" fillId="0" borderId="0"/>
    <xf numFmtId="0" fontId="19" fillId="0" borderId="0"/>
    <xf numFmtId="0" fontId="50" fillId="0" borderId="0"/>
    <xf numFmtId="0" fontId="17" fillId="0" borderId="0"/>
    <xf numFmtId="0" fontId="13" fillId="0" borderId="0"/>
    <xf numFmtId="0" fontId="13" fillId="0" borderId="0" applyFill="0" applyBorder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24" fillId="0" borderId="0"/>
    <xf numFmtId="0" fontId="13" fillId="0" borderId="0"/>
    <xf numFmtId="0" fontId="50" fillId="0" borderId="0"/>
    <xf numFmtId="0" fontId="105" fillId="0" borderId="0"/>
    <xf numFmtId="0" fontId="13" fillId="0" borderId="0"/>
    <xf numFmtId="0" fontId="13" fillId="0" borderId="0" applyFill="0" applyBorder="0"/>
    <xf numFmtId="0" fontId="50" fillId="0" borderId="0"/>
    <xf numFmtId="0" fontId="13" fillId="0" borderId="0"/>
    <xf numFmtId="0" fontId="13" fillId="0" borderId="0"/>
    <xf numFmtId="0" fontId="19" fillId="0" borderId="0"/>
    <xf numFmtId="0" fontId="92" fillId="48" borderId="0" applyNumberFormat="0" applyBorder="0" applyAlignment="0" applyProtection="0"/>
    <xf numFmtId="0" fontId="13" fillId="35" borderId="29">
      <alignment horizontal="center" vertical="center"/>
    </xf>
    <xf numFmtId="0" fontId="13" fillId="0" borderId="0">
      <alignment horizontal="right"/>
    </xf>
    <xf numFmtId="0" fontId="108" fillId="0" borderId="30" applyNumberFormat="0" applyFill="0" applyAlignment="0" applyProtection="0"/>
    <xf numFmtId="0" fontId="13" fillId="58" borderId="0"/>
    <xf numFmtId="2" fontId="109" fillId="0" borderId="0"/>
    <xf numFmtId="0" fontId="35" fillId="0" borderId="0" applyFill="0" applyBorder="0">
      <alignment horizontal="left" wrapText="1"/>
    </xf>
    <xf numFmtId="1" fontId="37" fillId="0" borderId="0">
      <protection locked="0"/>
    </xf>
    <xf numFmtId="1" fontId="37" fillId="0" borderId="0">
      <protection locked="0"/>
    </xf>
    <xf numFmtId="9" fontId="110" fillId="0" borderId="24" applyNumberFormat="0" applyBorder="0">
      <alignment horizontal="right"/>
    </xf>
    <xf numFmtId="0" fontId="111" fillId="0" borderId="0" applyNumberFormat="0" applyAlignment="0">
      <alignment vertical="center"/>
    </xf>
    <xf numFmtId="219" fontId="111" fillId="0" borderId="0" applyNumberFormat="0" applyAlignment="0">
      <alignment vertical="center"/>
    </xf>
    <xf numFmtId="0" fontId="112" fillId="59" borderId="28" applyNumberFormat="0">
      <alignment horizontal="left" vertical="center"/>
      <protection locked="0" hidden="1"/>
    </xf>
    <xf numFmtId="0" fontId="113" fillId="24" borderId="4">
      <alignment wrapText="1"/>
    </xf>
    <xf numFmtId="0" fontId="114" fillId="24" borderId="4" applyProtection="0">
      <alignment horizontal="center" vertical="center" wrapText="1"/>
    </xf>
    <xf numFmtId="0" fontId="115" fillId="60" borderId="0" applyNumberFormat="0" applyBorder="0" applyProtection="0">
      <alignment horizontal="centerContinuous" vertical="center"/>
    </xf>
    <xf numFmtId="0" fontId="115" fillId="60" borderId="9" applyNumberFormat="0" applyProtection="0">
      <alignment horizontal="center" vertical="center" wrapText="1"/>
    </xf>
    <xf numFmtId="0" fontId="22" fillId="61" borderId="0" applyNumberFormat="0">
      <alignment horizontal="center" vertical="top" wrapText="1"/>
    </xf>
    <xf numFmtId="0" fontId="22" fillId="61" borderId="0" applyNumberFormat="0">
      <alignment horizontal="left" vertical="top" wrapText="1"/>
    </xf>
    <xf numFmtId="0" fontId="22" fillId="61" borderId="0" applyNumberFormat="0">
      <alignment horizontal="centerContinuous" vertical="top"/>
    </xf>
    <xf numFmtId="0" fontId="34" fillId="61" borderId="0" applyNumberFormat="0">
      <alignment horizontal="center" vertical="top" wrapText="1"/>
    </xf>
    <xf numFmtId="0" fontId="22" fillId="62" borderId="0" applyNumberFormat="0">
      <alignment horizontal="center" vertical="top" wrapText="1"/>
    </xf>
    <xf numFmtId="0" fontId="61" fillId="0" borderId="31" applyNumberFormat="0" applyFont="0" applyFill="0" applyAlignment="0" applyProtection="0">
      <alignment horizontal="left"/>
    </xf>
    <xf numFmtId="0" fontId="22" fillId="24" borderId="32">
      <alignment horizontal="center" vertical="top" wrapText="1"/>
    </xf>
    <xf numFmtId="4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16" fillId="0" borderId="0"/>
    <xf numFmtId="0" fontId="117" fillId="0" borderId="0">
      <alignment horizontal="left" vertical="center"/>
    </xf>
    <xf numFmtId="0" fontId="118" fillId="0" borderId="0" applyNumberFormat="0" applyAlignment="0">
      <alignment horizontal="left"/>
    </xf>
    <xf numFmtId="0" fontId="119" fillId="63" borderId="0">
      <alignment horizontal="left" vertical="top"/>
    </xf>
    <xf numFmtId="0" fontId="120" fillId="0" borderId="0" applyNumberFormat="0" applyAlignment="0"/>
    <xf numFmtId="220" fontId="35" fillId="0" borderId="0" applyFill="0" applyBorder="0"/>
    <xf numFmtId="174" fontId="121" fillId="0" borderId="0" applyFill="0" applyBorder="0" applyAlignment="0" applyProtection="0">
      <alignment horizontal="left"/>
    </xf>
    <xf numFmtId="221" fontId="34" fillId="0" borderId="0" applyFont="0" applyFill="0" applyBorder="0" applyAlignment="0" applyProtection="0">
      <alignment vertical="center"/>
    </xf>
    <xf numFmtId="222" fontId="13" fillId="0" borderId="0" applyFont="0" applyFill="0" applyBorder="0" applyAlignment="0" applyProtection="0"/>
    <xf numFmtId="223" fontId="34" fillId="0" borderId="0" applyFont="0" applyFill="0" applyBorder="0" applyAlignment="0" applyProtection="0">
      <alignment vertical="center"/>
    </xf>
    <xf numFmtId="224" fontId="34" fillId="0" borderId="0" applyFont="0" applyFill="0" applyBorder="0" applyAlignment="0" applyProtection="0">
      <alignment vertical="center"/>
    </xf>
    <xf numFmtId="225" fontId="34" fillId="0" borderId="0" applyFont="0" applyFill="0" applyBorder="0" applyAlignment="0" applyProtection="0">
      <alignment vertical="center"/>
    </xf>
    <xf numFmtId="226" fontId="34" fillId="0" borderId="0" applyFont="0" applyFill="0" applyBorder="0" applyAlignment="0" applyProtection="0">
      <alignment vertical="center"/>
    </xf>
    <xf numFmtId="227" fontId="34" fillId="0" borderId="0" applyFont="0" applyFill="0" applyBorder="0" applyAlignment="0" applyProtection="0">
      <alignment vertical="center"/>
    </xf>
    <xf numFmtId="228" fontId="34" fillId="0" borderId="0" applyFont="0" applyFill="0" applyBorder="0" applyAlignment="0" applyProtection="0">
      <alignment vertical="center"/>
    </xf>
    <xf numFmtId="229" fontId="34" fillId="0" borderId="0" applyFont="0" applyFill="0" applyBorder="0" applyAlignment="0" applyProtection="0">
      <alignment vertical="center"/>
    </xf>
    <xf numFmtId="230" fontId="34" fillId="0" borderId="0" applyFont="0" applyFill="0" applyBorder="0" applyAlignment="0" applyProtection="0">
      <alignment vertical="center"/>
    </xf>
    <xf numFmtId="231" fontId="34" fillId="0" borderId="0" applyFont="0" applyFill="0" applyBorder="0" applyAlignment="0" applyProtection="0">
      <alignment vertical="center"/>
    </xf>
    <xf numFmtId="232" fontId="34" fillId="0" borderId="0" applyFont="0" applyFill="0" applyBorder="0" applyAlignment="0" applyProtection="0">
      <alignment vertical="center"/>
    </xf>
    <xf numFmtId="233" fontId="34" fillId="0" borderId="0" applyFont="0" applyFill="0" applyBorder="0" applyAlignment="0" applyProtection="0">
      <alignment vertical="center"/>
    </xf>
    <xf numFmtId="234" fontId="34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/>
    <xf numFmtId="235" fontId="34" fillId="0" borderId="0" applyFont="0" applyFill="0" applyBorder="0" applyAlignment="0" applyProtection="0">
      <alignment vertical="center"/>
    </xf>
    <xf numFmtId="236" fontId="34" fillId="0" borderId="0" applyFont="0" applyFill="0" applyBorder="0" applyAlignment="0" applyProtection="0">
      <alignment vertical="center"/>
    </xf>
    <xf numFmtId="0" fontId="107" fillId="0" borderId="0"/>
    <xf numFmtId="0" fontId="107" fillId="0" borderId="0"/>
    <xf numFmtId="0" fontId="84" fillId="47" borderId="0" applyNumberFormat="0" applyBorder="0" applyAlignment="0" applyProtection="0"/>
    <xf numFmtId="0" fontId="122" fillId="0" borderId="0" applyNumberFormat="0" applyAlignment="0">
      <alignment horizontal="left"/>
    </xf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05" fillId="0" borderId="0"/>
    <xf numFmtId="0" fontId="13" fillId="0" borderId="0" applyFill="0" applyBorder="0">
      <alignment wrapText="1"/>
    </xf>
    <xf numFmtId="0" fontId="35" fillId="0" borderId="0" applyFill="0" applyBorder="0"/>
    <xf numFmtId="220" fontId="13" fillId="0" borderId="23" applyFill="0" applyBorder="0">
      <protection locked="0"/>
    </xf>
    <xf numFmtId="1" fontId="36" fillId="0" borderId="0">
      <protection locked="0"/>
    </xf>
    <xf numFmtId="0" fontId="24" fillId="0" borderId="0"/>
    <xf numFmtId="3" fontId="16" fillId="23" borderId="32"/>
    <xf numFmtId="0" fontId="123" fillId="0" borderId="0" applyNumberFormat="0">
      <alignment vertical="center"/>
    </xf>
    <xf numFmtId="0" fontId="124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horizontal="left" vertical="center"/>
    </xf>
    <xf numFmtId="0" fontId="125" fillId="0" borderId="0" applyNumberFormat="0">
      <alignment horizontal="left"/>
    </xf>
    <xf numFmtId="0" fontId="124" fillId="0" borderId="0" applyProtection="0"/>
    <xf numFmtId="0" fontId="43" fillId="0" borderId="0" applyProtection="0"/>
    <xf numFmtId="0" fontId="108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35" fillId="0" borderId="0" applyFill="0" applyBorder="0"/>
    <xf numFmtId="0" fontId="128" fillId="0" borderId="0" applyFill="0" applyBorder="0" applyAlignment="0" applyProtection="0">
      <alignment horizontal="right"/>
    </xf>
    <xf numFmtId="168" fontId="129" fillId="24" borderId="0">
      <protection locked="0"/>
    </xf>
    <xf numFmtId="3" fontId="130" fillId="24" borderId="0">
      <alignment horizontal="right"/>
      <protection locked="0"/>
    </xf>
    <xf numFmtId="237" fontId="129" fillId="24" borderId="0" applyBorder="0">
      <alignment horizontal="right"/>
      <protection locked="0"/>
    </xf>
    <xf numFmtId="0" fontId="131" fillId="0" borderId="24" applyNumberFormat="0" applyBorder="0" applyAlignment="0" applyProtection="0">
      <alignment horizontal="right"/>
    </xf>
    <xf numFmtId="0" fontId="34" fillId="0" borderId="33" applyNumberFormat="0" applyAlignment="0">
      <alignment vertical="center"/>
    </xf>
    <xf numFmtId="0" fontId="34" fillId="0" borderId="34" applyNumberFormat="0" applyAlignment="0">
      <alignment vertical="center"/>
      <protection locked="0"/>
    </xf>
    <xf numFmtId="238" fontId="34" fillId="64" borderId="34" applyNumberFormat="0" applyAlignment="0">
      <alignment vertical="center"/>
      <protection locked="0"/>
    </xf>
    <xf numFmtId="0" fontId="132" fillId="0" borderId="0" applyNumberFormat="0" applyFill="0" applyBorder="0" applyAlignment="0" applyProtection="0"/>
    <xf numFmtId="0" fontId="34" fillId="65" borderId="0" applyNumberFormat="0" applyAlignment="0">
      <alignment vertical="center"/>
    </xf>
    <xf numFmtId="0" fontId="34" fillId="2" borderId="0" applyNumberFormat="0" applyAlignment="0">
      <alignment vertical="center"/>
    </xf>
    <xf numFmtId="0" fontId="34" fillId="0" borderId="35" applyNumberFormat="0" applyAlignment="0">
      <alignment vertical="center"/>
      <protection locked="0"/>
    </xf>
    <xf numFmtId="0" fontId="133" fillId="0" borderId="0" applyNumberFormat="0" applyFill="0" applyBorder="0" applyAlignment="0">
      <protection locked="0"/>
    </xf>
    <xf numFmtId="0" fontId="34" fillId="34" borderId="0" applyNumberFormat="0" applyFont="0" applyBorder="0" applyAlignment="0" applyProtection="0">
      <alignment horizontal="left"/>
    </xf>
    <xf numFmtId="10" fontId="134" fillId="27" borderId="32"/>
    <xf numFmtId="0" fontId="135" fillId="0" borderId="0" applyNumberFormat="0" applyFill="0" applyBorder="0" applyProtection="0">
      <alignment horizontal="left" vertical="center"/>
    </xf>
    <xf numFmtId="239" fontId="136" fillId="0" borderId="23" applyNumberFormat="0" applyFill="0" applyBorder="0" applyAlignment="0" applyProtection="0">
      <alignment horizontal="center"/>
    </xf>
    <xf numFmtId="240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241" fontId="13" fillId="0" borderId="0" applyFont="0" applyFill="0" applyBorder="0" applyAlignment="0" applyProtection="0"/>
    <xf numFmtId="242" fontId="13" fillId="0" borderId="0" applyFont="0" applyFill="0" applyBorder="0" applyAlignment="0" applyProtection="0"/>
    <xf numFmtId="242" fontId="13" fillId="0" borderId="0" applyFont="0" applyFill="0" applyBorder="0" applyAlignment="0" applyProtection="0"/>
    <xf numFmtId="43" fontId="9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2" fillId="0" borderId="0" applyFont="0" applyFill="0" applyBorder="0" applyAlignment="0" applyProtection="0"/>
    <xf numFmtId="2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0" fontId="131" fillId="66" borderId="0">
      <alignment horizontal="right"/>
    </xf>
    <xf numFmtId="244" fontId="13" fillId="0" borderId="0" applyFont="0" applyFill="0" applyBorder="0" applyAlignment="0" applyProtection="0"/>
    <xf numFmtId="245" fontId="13" fillId="0" borderId="0" applyFont="0" applyFill="0" applyBorder="0" applyAlignment="0" applyProtection="0"/>
    <xf numFmtId="246" fontId="36" fillId="0" borderId="0">
      <protection locked="0"/>
    </xf>
    <xf numFmtId="17" fontId="16" fillId="27" borderId="4"/>
    <xf numFmtId="0" fontId="137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2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7" fillId="0" borderId="0"/>
    <xf numFmtId="0" fontId="10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8" fillId="0" borderId="0"/>
    <xf numFmtId="0" fontId="92" fillId="0" borderId="0"/>
    <xf numFmtId="0" fontId="92" fillId="0" borderId="0"/>
    <xf numFmtId="3" fontId="139" fillId="0" borderId="0"/>
    <xf numFmtId="3" fontId="140" fillId="0" borderId="0">
      <alignment horizontal="left"/>
    </xf>
    <xf numFmtId="0" fontId="24" fillId="0" borderId="0"/>
    <xf numFmtId="0" fontId="34" fillId="67" borderId="0" applyBorder="0" applyAlignment="0">
      <alignment horizontal="left"/>
    </xf>
    <xf numFmtId="0" fontId="61" fillId="0" borderId="0"/>
    <xf numFmtId="0" fontId="61" fillId="0" borderId="0"/>
    <xf numFmtId="219" fontId="34" fillId="0" borderId="0" applyFont="0" applyFill="0" applyBorder="0" applyAlignment="0" applyProtection="0">
      <alignment vertical="center"/>
    </xf>
    <xf numFmtId="238" fontId="34" fillId="0" borderId="0" applyFont="0" applyFill="0" applyBorder="0" applyAlignment="0" applyProtection="0">
      <alignment vertical="center"/>
    </xf>
    <xf numFmtId="40" fontId="141" fillId="0" borderId="0" applyFont="0" applyFill="0" applyBorder="0" applyAlignment="0" applyProtection="0"/>
    <xf numFmtId="38" fontId="141" fillId="0" borderId="0" applyFont="0" applyFill="0" applyBorder="0" applyAlignment="0" applyProtection="0"/>
    <xf numFmtId="40" fontId="16" fillId="23" borderId="0">
      <alignment horizontal="right"/>
    </xf>
    <xf numFmtId="168" fontId="16" fillId="0" borderId="32" applyAlignment="0" applyProtection="0"/>
    <xf numFmtId="247" fontId="61" fillId="0" borderId="0" applyFont="0" applyFill="0" applyBorder="0" applyAlignment="0" applyProtection="0"/>
    <xf numFmtId="248" fontId="34" fillId="0" borderId="0" applyFont="0" applyFill="0" applyBorder="0" applyAlignment="0" applyProtection="0">
      <alignment vertical="center"/>
    </xf>
    <xf numFmtId="249" fontId="34" fillId="0" borderId="0" applyFont="0" applyFill="0" applyBorder="0" applyAlignment="0" applyProtection="0">
      <alignment horizontal="right" vertical="center"/>
    </xf>
    <xf numFmtId="9" fontId="142" fillId="0" borderId="0" applyNumberFormat="0" applyFill="0" applyBorder="0" applyProtection="0">
      <alignment horizontal="right"/>
    </xf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250" fontId="36" fillId="0" borderId="0">
      <protection locked="0"/>
    </xf>
    <xf numFmtId="251" fontId="36" fillId="0" borderId="0">
      <protection locked="0"/>
    </xf>
    <xf numFmtId="0" fontId="24" fillId="0" borderId="0"/>
    <xf numFmtId="0" fontId="143" fillId="0" borderId="0">
      <alignment horizontal="left"/>
      <protection locked="0"/>
    </xf>
    <xf numFmtId="0" fontId="144" fillId="0" borderId="0"/>
    <xf numFmtId="0" fontId="145" fillId="0" borderId="0"/>
    <xf numFmtId="252" fontId="64" fillId="0" borderId="0" applyNumberFormat="0" applyFill="0" applyBorder="0" applyAlignment="0" applyProtection="0">
      <alignment horizontal="left"/>
    </xf>
    <xf numFmtId="0" fontId="81" fillId="0" borderId="0" applyFill="0" applyBorder="0">
      <alignment horizontal="left"/>
    </xf>
    <xf numFmtId="253" fontId="81" fillId="0" borderId="23" applyFill="0" applyBorder="0">
      <protection locked="0"/>
    </xf>
    <xf numFmtId="0" fontId="61" fillId="0" borderId="36" applyNumberFormat="0" applyFont="0" applyFill="0" applyAlignment="0" applyProtection="0"/>
    <xf numFmtId="214" fontId="13" fillId="68" borderId="0" applyBorder="0" applyProtection="0">
      <alignment horizontal="left" wrapText="1"/>
    </xf>
    <xf numFmtId="0" fontId="115" fillId="60" borderId="0" applyNumberFormat="0" applyBorder="0" applyProtection="0">
      <alignment horizontal="left"/>
    </xf>
    <xf numFmtId="0" fontId="115" fillId="60" borderId="25" applyNumberFormat="0" applyBorder="0" applyProtection="0">
      <alignment horizontal="left" wrapText="1"/>
    </xf>
    <xf numFmtId="0" fontId="16" fillId="0" borderId="0"/>
    <xf numFmtId="0" fontId="34" fillId="0" borderId="0" applyNumberFormat="0" applyFill="0" applyBorder="0">
      <alignment horizontal="left" vertical="center" wrapText="1" indent="1"/>
    </xf>
    <xf numFmtId="0" fontId="22" fillId="0" borderId="0" applyNumberFormat="0" applyFill="0" applyBorder="0">
      <alignment horizontal="left" vertical="center" wrapText="1"/>
    </xf>
    <xf numFmtId="0" fontId="61" fillId="0" borderId="27" applyNumberFormat="0" applyFont="0" applyFill="0" applyAlignment="0" applyProtection="0"/>
    <xf numFmtId="0" fontId="146" fillId="63" borderId="0"/>
    <xf numFmtId="174" fontId="147" fillId="0" borderId="0">
      <alignment horizontal="left"/>
    </xf>
    <xf numFmtId="0" fontId="148" fillId="0" borderId="0" applyNumberFormat="0" applyFill="0" applyBorder="0" applyProtection="0">
      <alignment horizontal="left" vertical="center"/>
    </xf>
    <xf numFmtId="0" fontId="146" fillId="63" borderId="0" applyAlignment="0"/>
    <xf numFmtId="178" fontId="61" fillId="0" borderId="0" applyFont="0" applyFill="0" applyBorder="0" applyAlignment="0" applyProtection="0"/>
    <xf numFmtId="241" fontId="13" fillId="0" borderId="0" applyFont="0" applyFill="0" applyBorder="0" applyAlignment="0" applyProtection="0"/>
    <xf numFmtId="0" fontId="34" fillId="61" borderId="0">
      <alignment vertical="top" wrapText="1"/>
    </xf>
    <xf numFmtId="40" fontId="61" fillId="0" borderId="0" applyFont="0" applyFill="0" applyBorder="0" applyAlignment="0" applyProtection="0"/>
    <xf numFmtId="254" fontId="61" fillId="0" borderId="0" applyFont="0" applyFill="0" applyBorder="0" applyAlignment="0" applyProtection="0"/>
    <xf numFmtId="0" fontId="35" fillId="2" borderId="32">
      <alignment vertical="top" wrapText="1"/>
    </xf>
    <xf numFmtId="174" fontId="149" fillId="0" borderId="0">
      <alignment horizontal="left"/>
    </xf>
    <xf numFmtId="0" fontId="13" fillId="0" borderId="0"/>
    <xf numFmtId="0" fontId="150" fillId="0" borderId="0">
      <alignment horizontal="right"/>
    </xf>
    <xf numFmtId="0" fontId="62" fillId="0" borderId="0"/>
    <xf numFmtId="0" fontId="151" fillId="0" borderId="0"/>
    <xf numFmtId="0" fontId="152" fillId="0" borderId="0" applyNumberFormat="0" applyFill="0" applyBorder="0" applyAlignment="0" applyProtection="0">
      <alignment horizontal="left" vertical="center"/>
    </xf>
    <xf numFmtId="0" fontId="153" fillId="0" borderId="0">
      <alignment horizontal="left"/>
    </xf>
    <xf numFmtId="3" fontId="154" fillId="0" borderId="0"/>
    <xf numFmtId="3" fontId="155" fillId="0" borderId="0"/>
    <xf numFmtId="40" fontId="156" fillId="0" borderId="0" applyBorder="0">
      <alignment horizontal="right"/>
    </xf>
    <xf numFmtId="167" fontId="114" fillId="0" borderId="37"/>
    <xf numFmtId="238" fontId="22" fillId="0" borderId="38" applyNumberFormat="0" applyFill="0" applyAlignment="0" applyProtection="0">
      <alignment vertical="center"/>
    </xf>
    <xf numFmtId="239" fontId="157" fillId="0" borderId="23" applyNumberFormat="0" applyFill="0" applyBorder="0" applyAlignment="0" applyProtection="0">
      <alignment horizontal="center"/>
    </xf>
    <xf numFmtId="238" fontId="34" fillId="0" borderId="39" applyNumberFormat="0" applyFont="0" applyFill="0" applyAlignment="0" applyProtection="0">
      <alignment vertical="center"/>
    </xf>
    <xf numFmtId="0" fontId="34" fillId="24" borderId="0" applyNumberFormat="0" applyFont="0" applyBorder="0" applyAlignment="0" applyProtection="0">
      <alignment vertical="center"/>
    </xf>
    <xf numFmtId="0" fontId="34" fillId="0" borderId="0" applyNumberFormat="0" applyFont="0" applyFill="0" applyAlignment="0" applyProtection="0">
      <alignment vertical="center"/>
    </xf>
    <xf numFmtId="238" fontId="34" fillId="0" borderId="0" applyNumberFormat="0" applyFont="0" applyBorder="0" applyAlignment="0" applyProtection="0">
      <alignment vertical="center"/>
    </xf>
    <xf numFmtId="0" fontId="115" fillId="0" borderId="0">
      <alignment horizontal="centerContinuous"/>
    </xf>
    <xf numFmtId="0" fontId="158" fillId="33" borderId="0" applyNumberFormat="0" applyBorder="0" applyAlignment="0" applyProtection="0">
      <protection locked="0"/>
    </xf>
    <xf numFmtId="255" fontId="13" fillId="0" borderId="32">
      <alignment horizontal="left"/>
    </xf>
    <xf numFmtId="0" fontId="16" fillId="27" borderId="32"/>
    <xf numFmtId="0" fontId="115" fillId="60" borderId="9" applyNumberFormat="0" applyProtection="0">
      <alignment horizontal="left" vertical="center"/>
    </xf>
    <xf numFmtId="0" fontId="69" fillId="0" borderId="0" applyNumberFormat="0" applyFill="0" applyBorder="0" applyAlignment="0" applyProtection="0"/>
    <xf numFmtId="0" fontId="114" fillId="0" borderId="0"/>
    <xf numFmtId="238" fontId="22" fillId="0" borderId="0" applyNumberFormat="0" applyFill="0" applyBorder="0" applyAlignment="0" applyProtection="0">
      <alignment vertical="center"/>
    </xf>
    <xf numFmtId="0" fontId="34" fillId="0" borderId="0" applyNumberFormat="0" applyFont="0" applyBorder="0" applyAlignment="0" applyProtection="0">
      <alignment vertical="center"/>
    </xf>
    <xf numFmtId="37" fontId="35" fillId="27" borderId="0" applyNumberFormat="0" applyBorder="0" applyAlignment="0" applyProtection="0"/>
    <xf numFmtId="37" fontId="35" fillId="0" borderId="0"/>
    <xf numFmtId="3" fontId="159" fillId="0" borderId="40" applyProtection="0"/>
    <xf numFmtId="0" fontId="34" fillId="0" borderId="0" applyNumberFormat="0" applyFont="0" applyAlignment="0" applyProtection="0">
      <alignment vertical="center"/>
    </xf>
    <xf numFmtId="256" fontId="53" fillId="0" borderId="0" applyFont="0" applyFill="0" applyBorder="0" applyAlignment="0" applyProtection="0"/>
    <xf numFmtId="257" fontId="13" fillId="0" borderId="0" applyFont="0" applyFill="0" applyBorder="0" applyAlignment="0" applyProtection="0"/>
    <xf numFmtId="0" fontId="160" fillId="63" borderId="0" applyAlignment="0"/>
    <xf numFmtId="0" fontId="61" fillId="60" borderId="0" applyNumberFormat="0" applyBorder="0" applyProtection="0">
      <alignment horizontal="left"/>
    </xf>
    <xf numFmtId="0" fontId="161" fillId="0" borderId="0">
      <alignment horizontal="righ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241" fontId="13" fillId="0" borderId="0" applyFont="0" applyFill="0" applyBorder="0" applyAlignment="0" applyProtection="0"/>
    <xf numFmtId="258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13" fontId="13" fillId="0" borderId="0" applyFont="0" applyFill="0" applyBorder="0" applyAlignment="0" applyProtection="0"/>
    <xf numFmtId="213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178" fillId="0" borderId="0"/>
    <xf numFmtId="0" fontId="92" fillId="0" borderId="0"/>
    <xf numFmtId="9" fontId="92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Border="1"/>
    <xf numFmtId="0" fontId="3" fillId="3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17" xfId="0" applyNumberFormat="1" applyFont="1" applyBorder="1"/>
    <xf numFmtId="0" fontId="5" fillId="0" borderId="17" xfId="0" applyFont="1" applyBorder="1" applyAlignment="1">
      <alignment horizontal="center"/>
    </xf>
    <xf numFmtId="165" fontId="5" fillId="0" borderId="17" xfId="207" applyNumberFormat="1" applyFont="1" applyBorder="1" applyAlignment="1">
      <alignment horizontal="center"/>
    </xf>
    <xf numFmtId="165" fontId="9" fillId="0" borderId="17" xfId="207" applyNumberFormat="1" applyFont="1" applyFill="1" applyBorder="1" applyAlignment="1">
      <alignment horizontal="center"/>
    </xf>
    <xf numFmtId="164" fontId="8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165" fontId="5" fillId="0" borderId="0" xfId="207" applyNumberFormat="1" applyFont="1" applyBorder="1" applyAlignment="1">
      <alignment horizontal="center"/>
    </xf>
    <xf numFmtId="165" fontId="9" fillId="0" borderId="0" xfId="207" applyNumberFormat="1" applyFont="1" applyFill="1" applyBorder="1" applyAlignment="1">
      <alignment horizontal="center"/>
    </xf>
    <xf numFmtId="164" fontId="8" fillId="0" borderId="18" xfId="0" applyNumberFormat="1" applyFont="1" applyBorder="1"/>
    <xf numFmtId="0" fontId="5" fillId="0" borderId="18" xfId="0" applyFont="1" applyBorder="1" applyAlignment="1">
      <alignment horizontal="center"/>
    </xf>
    <xf numFmtId="165" fontId="5" fillId="0" borderId="18" xfId="207" applyNumberFormat="1" applyFont="1" applyBorder="1" applyAlignment="1">
      <alignment horizontal="center"/>
    </xf>
    <xf numFmtId="165" fontId="9" fillId="0" borderId="18" xfId="207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207" applyNumberFormat="1" applyFont="1" applyFill="1" applyBorder="1" applyAlignment="1">
      <alignment horizontal="center"/>
    </xf>
    <xf numFmtId="165" fontId="12" fillId="0" borderId="17" xfId="207" applyNumberFormat="1" applyFont="1" applyFill="1" applyBorder="1" applyAlignment="1">
      <alignment horizontal="center"/>
    </xf>
    <xf numFmtId="165" fontId="12" fillId="0" borderId="18" xfId="207" applyNumberFormat="1" applyFont="1" applyFill="1" applyBorder="1" applyAlignment="1">
      <alignment horizontal="center"/>
    </xf>
    <xf numFmtId="0" fontId="5" fillId="0" borderId="18" xfId="0" applyFont="1" applyBorder="1"/>
    <xf numFmtId="165" fontId="5" fillId="0" borderId="0" xfId="207" applyNumberFormat="1" applyFont="1" applyBorder="1"/>
    <xf numFmtId="0" fontId="6" fillId="0" borderId="18" xfId="0" applyFont="1" applyBorder="1"/>
    <xf numFmtId="0" fontId="12" fillId="0" borderId="0" xfId="228" applyFont="1" applyAlignment="1">
      <alignment vertical="center"/>
    </xf>
    <xf numFmtId="0" fontId="9" fillId="0" borderId="0" xfId="228" applyFont="1" applyAlignment="1">
      <alignment vertical="center"/>
    </xf>
    <xf numFmtId="0" fontId="11" fillId="33" borderId="0" xfId="228" applyFont="1" applyFill="1" applyAlignment="1">
      <alignment vertical="center"/>
    </xf>
    <xf numFmtId="0" fontId="3" fillId="33" borderId="0" xfId="228" applyFont="1" applyFill="1" applyAlignment="1">
      <alignment horizontal="center" vertical="center"/>
    </xf>
    <xf numFmtId="0" fontId="3" fillId="0" borderId="0" xfId="228" applyFont="1" applyFill="1" applyAlignment="1">
      <alignment horizontal="center" vertical="center"/>
    </xf>
    <xf numFmtId="0" fontId="9" fillId="0" borderId="0" xfId="228" applyFont="1" applyFill="1" applyAlignment="1">
      <alignment vertical="center"/>
    </xf>
    <xf numFmtId="0" fontId="12" fillId="0" borderId="17" xfId="228" applyFont="1" applyFill="1" applyBorder="1" applyAlignment="1">
      <alignment vertical="center"/>
    </xf>
    <xf numFmtId="166" fontId="9" fillId="0" borderId="17" xfId="207" applyNumberFormat="1" applyFont="1" applyFill="1" applyBorder="1" applyAlignment="1">
      <alignment horizontal="center" vertical="center"/>
    </xf>
    <xf numFmtId="0" fontId="12" fillId="0" borderId="18" xfId="228" applyFont="1" applyFill="1" applyBorder="1" applyAlignment="1">
      <alignment vertical="center"/>
    </xf>
    <xf numFmtId="166" fontId="9" fillId="0" borderId="18" xfId="207" applyNumberFormat="1" applyFont="1" applyFill="1" applyBorder="1" applyAlignment="1">
      <alignment horizontal="center" vertical="center"/>
    </xf>
    <xf numFmtId="167" fontId="9" fillId="0" borderId="0" xfId="228" applyNumberFormat="1" applyFont="1" applyAlignment="1">
      <alignment vertical="center"/>
    </xf>
    <xf numFmtId="0" fontId="12" fillId="0" borderId="19" xfId="228" applyFont="1" applyBorder="1" applyAlignment="1">
      <alignment horizontal="center" vertical="center"/>
    </xf>
    <xf numFmtId="168" fontId="12" fillId="0" borderId="19" xfId="242" applyNumberFormat="1" applyFont="1" applyBorder="1" applyAlignment="1">
      <alignment horizontal="center" vertical="center"/>
    </xf>
    <xf numFmtId="166" fontId="12" fillId="0" borderId="19" xfId="207" applyNumberFormat="1" applyFont="1" applyBorder="1" applyAlignment="1">
      <alignment horizontal="center" vertical="center"/>
    </xf>
    <xf numFmtId="0" fontId="15" fillId="0" borderId="0" xfId="228" applyFont="1" applyFill="1" applyAlignment="1">
      <alignment vertical="center"/>
    </xf>
    <xf numFmtId="164" fontId="3" fillId="33" borderId="0" xfId="0" applyNumberFormat="1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166" fontId="7" fillId="0" borderId="0" xfId="207" applyNumberFormat="1" applyFont="1" applyFill="1" applyBorder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209" fontId="6" fillId="0" borderId="18" xfId="240" applyNumberFormat="1" applyFont="1" applyBorder="1"/>
    <xf numFmtId="3" fontId="0" fillId="0" borderId="0" xfId="0" applyNumberFormat="1"/>
    <xf numFmtId="0" fontId="3" fillId="33" borderId="0" xfId="0" applyFont="1" applyFill="1" applyAlignment="1">
      <alignment horizontal="center" vertical="center" wrapText="1"/>
    </xf>
    <xf numFmtId="210" fontId="5" fillId="0" borderId="0" xfId="0" applyNumberFormat="1" applyFont="1" applyBorder="1"/>
    <xf numFmtId="0" fontId="5" fillId="0" borderId="0" xfId="0" applyNumberFormat="1" applyFont="1"/>
    <xf numFmtId="211" fontId="0" fillId="0" borderId="0" xfId="0" applyNumberFormat="1" applyBorder="1"/>
    <xf numFmtId="164" fontId="6" fillId="0" borderId="1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164" fontId="6" fillId="0" borderId="18" xfId="0" applyNumberFormat="1" applyFont="1" applyBorder="1"/>
    <xf numFmtId="164" fontId="5" fillId="0" borderId="18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3" fillId="0" borderId="0" xfId="0" applyFont="1" applyAlignment="1">
      <alignment horizontal="center" vertical="center" wrapText="1"/>
    </xf>
    <xf numFmtId="0" fontId="75" fillId="0" borderId="0" xfId="0" applyFont="1" applyAlignment="1">
      <alignment horizontal="right" vertical="center"/>
    </xf>
    <xf numFmtId="208" fontId="76" fillId="36" borderId="22" xfId="0" applyNumberFormat="1" applyFont="1" applyFill="1" applyBorder="1" applyAlignment="1">
      <alignment vertical="center"/>
    </xf>
    <xf numFmtId="10" fontId="77" fillId="0" borderId="0" xfId="240" applyNumberFormat="1" applyFont="1" applyAlignment="1">
      <alignment vertical="center"/>
    </xf>
    <xf numFmtId="0" fontId="78" fillId="37" borderId="0" xfId="0" applyFont="1" applyFill="1" applyAlignment="1"/>
    <xf numFmtId="4" fontId="0" fillId="0" borderId="0" xfId="0" applyNumberFormat="1"/>
    <xf numFmtId="43" fontId="9" fillId="0" borderId="0" xfId="207" applyNumberFormat="1" applyFont="1" applyFill="1" applyBorder="1" applyAlignment="1">
      <alignment horizontal="center"/>
    </xf>
    <xf numFmtId="4" fontId="5" fillId="0" borderId="0" xfId="0" applyNumberFormat="1" applyFont="1"/>
    <xf numFmtId="0" fontId="6" fillId="0" borderId="0" xfId="0" applyFont="1"/>
    <xf numFmtId="10" fontId="5" fillId="0" borderId="0" xfId="240" applyNumberFormat="1" applyFont="1"/>
    <xf numFmtId="4" fontId="6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 applyBorder="1"/>
    <xf numFmtId="1" fontId="5" fillId="0" borderId="0" xfId="0" applyNumberFormat="1" applyFont="1"/>
    <xf numFmtId="0" fontId="78" fillId="37" borderId="0" xfId="0" applyFont="1" applyFill="1" applyAlignment="1">
      <alignment horizontal="center"/>
    </xf>
    <xf numFmtId="43" fontId="5" fillId="0" borderId="0" xfId="0" applyNumberFormat="1" applyFont="1"/>
    <xf numFmtId="209" fontId="5" fillId="0" borderId="0" xfId="0" applyNumberFormat="1" applyFont="1" applyFill="1" applyBorder="1"/>
    <xf numFmtId="215" fontId="5" fillId="0" borderId="0" xfId="0" applyNumberFormat="1" applyFont="1"/>
    <xf numFmtId="209" fontId="5" fillId="0" borderId="0" xfId="0" applyNumberFormat="1" applyFont="1"/>
    <xf numFmtId="0" fontId="85" fillId="39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40" borderId="0" xfId="0" applyFont="1" applyFill="1" applyAlignment="1">
      <alignment vertical="center"/>
    </xf>
    <xf numFmtId="0" fontId="58" fillId="41" borderId="4" xfId="0" applyFont="1" applyFill="1" applyBorder="1" applyAlignment="1">
      <alignment horizontal="left" vertical="center" wrapText="1"/>
    </xf>
    <xf numFmtId="3" fontId="58" fillId="41" borderId="4" xfId="0" applyNumberFormat="1" applyFont="1" applyFill="1" applyBorder="1" applyAlignment="1">
      <alignment vertical="center" wrapText="1"/>
    </xf>
    <xf numFmtId="0" fontId="88" fillId="41" borderId="4" xfId="0" applyFont="1" applyFill="1" applyBorder="1" applyAlignment="1">
      <alignment horizontal="left" vertical="center" wrapText="1"/>
    </xf>
    <xf numFmtId="208" fontId="88" fillId="41" borderId="4" xfId="0" applyNumberFormat="1" applyFont="1" applyFill="1" applyBorder="1" applyAlignment="1">
      <alignment horizontal="right" vertical="center" wrapText="1"/>
    </xf>
    <xf numFmtId="169" fontId="88" fillId="41" borderId="4" xfId="0" applyNumberFormat="1" applyFont="1" applyFill="1" applyBorder="1" applyAlignment="1">
      <alignment horizontal="right" vertical="center" wrapText="1"/>
    </xf>
    <xf numFmtId="0" fontId="83" fillId="42" borderId="4" xfId="0" applyFont="1" applyFill="1" applyBorder="1" applyAlignment="1">
      <alignment horizontal="center" vertical="center"/>
    </xf>
    <xf numFmtId="0" fontId="0" fillId="41" borderId="4" xfId="0" applyFill="1" applyBorder="1" applyAlignment="1">
      <alignment horizontal="center" vertical="center"/>
    </xf>
    <xf numFmtId="0" fontId="0" fillId="0" borderId="4" xfId="0" applyBorder="1"/>
    <xf numFmtId="17" fontId="73" fillId="44" borderId="4" xfId="0" applyNumberFormat="1" applyFont="1" applyFill="1" applyBorder="1" applyAlignment="1">
      <alignment horizontal="center"/>
    </xf>
    <xf numFmtId="0" fontId="73" fillId="44" borderId="4" xfId="0" applyFont="1" applyFill="1" applyBorder="1" applyAlignment="1">
      <alignment horizontal="center"/>
    </xf>
    <xf numFmtId="3" fontId="0" fillId="0" borderId="4" xfId="0" applyNumberFormat="1" applyBorder="1"/>
    <xf numFmtId="0" fontId="0" fillId="0" borderId="4" xfId="0" applyBorder="1" applyAlignment="1">
      <alignment horizontal="left" indent="1"/>
    </xf>
    <xf numFmtId="3" fontId="90" fillId="0" borderId="4" xfId="0" applyNumberFormat="1" applyFont="1" applyBorder="1"/>
    <xf numFmtId="3" fontId="73" fillId="0" borderId="4" xfId="0" applyNumberFormat="1" applyFont="1" applyBorder="1"/>
    <xf numFmtId="3" fontId="0" fillId="0" borderId="0" xfId="0" applyNumberFormat="1" applyFill="1" applyBorder="1"/>
    <xf numFmtId="17" fontId="73" fillId="45" borderId="4" xfId="0" applyNumberFormat="1" applyFont="1" applyFill="1" applyBorder="1" applyAlignment="1">
      <alignment horizontal="center"/>
    </xf>
    <xf numFmtId="0" fontId="73" fillId="45" borderId="4" xfId="0" applyFont="1" applyFill="1" applyBorder="1" applyAlignment="1">
      <alignment horizontal="center"/>
    </xf>
    <xf numFmtId="0" fontId="73" fillId="45" borderId="4" xfId="0" applyFont="1" applyFill="1" applyBorder="1"/>
    <xf numFmtId="0" fontId="12" fillId="0" borderId="0" xfId="228" applyFont="1" applyFill="1" applyBorder="1" applyAlignment="1">
      <alignment vertical="center"/>
    </xf>
    <xf numFmtId="17" fontId="83" fillId="46" borderId="4" xfId="0" applyNumberFormat="1" applyFont="1" applyFill="1" applyBorder="1" applyAlignment="1">
      <alignment horizontal="center"/>
    </xf>
    <xf numFmtId="0" fontId="83" fillId="46" borderId="4" xfId="0" applyFont="1" applyFill="1" applyBorder="1" applyAlignment="1">
      <alignment horizontal="center"/>
    </xf>
    <xf numFmtId="0" fontId="12" fillId="0" borderId="0" xfId="228" applyFont="1" applyFill="1" applyAlignment="1">
      <alignment horizontal="center" vertical="center"/>
    </xf>
    <xf numFmtId="0" fontId="12" fillId="0" borderId="18" xfId="228" applyFont="1" applyFill="1" applyBorder="1" applyAlignment="1">
      <alignment horizontal="left" vertical="center"/>
    </xf>
    <xf numFmtId="166" fontId="9" fillId="0" borderId="0" xfId="207" applyNumberFormat="1" applyFont="1" applyFill="1" applyBorder="1" applyAlignment="1">
      <alignment horizontal="center" vertical="center"/>
    </xf>
    <xf numFmtId="17" fontId="91" fillId="37" borderId="4" xfId="0" applyNumberFormat="1" applyFont="1" applyFill="1" applyBorder="1" applyAlignment="1">
      <alignment horizontal="center"/>
    </xf>
    <xf numFmtId="0" fontId="91" fillId="37" borderId="4" xfId="0" applyFont="1" applyFill="1" applyBorder="1" applyAlignment="1">
      <alignment horizontal="center"/>
    </xf>
    <xf numFmtId="0" fontId="91" fillId="37" borderId="4" xfId="0" applyFont="1" applyFill="1" applyBorder="1"/>
    <xf numFmtId="3" fontId="79" fillId="0" borderId="0" xfId="286" applyNumberFormat="1" applyAlignment="1"/>
    <xf numFmtId="0" fontId="78" fillId="0" borderId="0" xfId="0" applyFont="1" applyFill="1"/>
    <xf numFmtId="166" fontId="9" fillId="0" borderId="0" xfId="228" applyNumberFormat="1" applyFont="1" applyAlignment="1">
      <alignment vertical="center"/>
    </xf>
    <xf numFmtId="165" fontId="9" fillId="0" borderId="0" xfId="207" applyNumberFormat="1" applyFont="1" applyFill="1" applyBorder="1" applyAlignment="1">
      <alignment horizontal="center"/>
    </xf>
    <xf numFmtId="0" fontId="83" fillId="50" borderId="4" xfId="0" applyFont="1" applyFill="1" applyBorder="1" applyAlignment="1">
      <alignment horizontal="center" vertical="center" wrapText="1"/>
    </xf>
    <xf numFmtId="3" fontId="84" fillId="50" borderId="4" xfId="0" applyNumberFormat="1" applyFont="1" applyFill="1" applyBorder="1"/>
    <xf numFmtId="168" fontId="0" fillId="0" borderId="0" xfId="287" applyNumberFormat="1" applyFont="1"/>
    <xf numFmtId="0" fontId="73" fillId="0" borderId="0" xfId="0" applyFont="1"/>
    <xf numFmtId="0" fontId="93" fillId="40" borderId="0" xfId="0" applyFont="1" applyFill="1"/>
    <xf numFmtId="0" fontId="95" fillId="0" borderId="0" xfId="0" applyFont="1"/>
    <xf numFmtId="0" fontId="96" fillId="51" borderId="4" xfId="0" applyFont="1" applyFill="1" applyBorder="1" applyAlignment="1">
      <alignment horizontal="center" vertical="center"/>
    </xf>
    <xf numFmtId="17" fontId="97" fillId="51" borderId="4" xfId="288" applyNumberFormat="1" applyFont="1" applyFill="1" applyBorder="1" applyAlignment="1">
      <alignment horizontal="center" vertical="center"/>
    </xf>
    <xf numFmtId="0" fontId="98" fillId="52" borderId="4" xfId="0" applyFont="1" applyFill="1" applyBorder="1" applyAlignment="1">
      <alignment horizontal="center" vertical="center"/>
    </xf>
    <xf numFmtId="3" fontId="99" fillId="38" borderId="4" xfId="288" applyNumberFormat="1" applyFont="1" applyFill="1" applyBorder="1" applyAlignment="1">
      <alignment horizontal="center" vertical="center"/>
    </xf>
    <xf numFmtId="0" fontId="96" fillId="52" borderId="4" xfId="0" applyFont="1" applyFill="1" applyBorder="1" applyAlignment="1">
      <alignment horizontal="center" vertical="center"/>
    </xf>
    <xf numFmtId="3" fontId="96" fillId="0" borderId="4" xfId="0" applyNumberFormat="1" applyFont="1" applyBorder="1"/>
    <xf numFmtId="0" fontId="95" fillId="0" borderId="4" xfId="0" applyFont="1" applyBorder="1"/>
    <xf numFmtId="3" fontId="95" fillId="0" borderId="4" xfId="0" applyNumberFormat="1" applyFont="1" applyBorder="1"/>
    <xf numFmtId="218" fontId="95" fillId="0" borderId="4" xfId="0" applyNumberFormat="1" applyFont="1" applyBorder="1"/>
    <xf numFmtId="0" fontId="96" fillId="51" borderId="4" xfId="0" applyFont="1" applyFill="1" applyBorder="1" applyAlignment="1">
      <alignment horizontal="center"/>
    </xf>
    <xf numFmtId="17" fontId="96" fillId="49" borderId="4" xfId="0" applyNumberFormat="1" applyFont="1" applyFill="1" applyBorder="1" applyAlignment="1">
      <alignment horizontal="center"/>
    </xf>
    <xf numFmtId="0" fontId="98" fillId="53" borderId="4" xfId="0" applyFont="1" applyFill="1" applyBorder="1" applyAlignment="1">
      <alignment horizontal="center" vertical="center"/>
    </xf>
    <xf numFmtId="3" fontId="98" fillId="0" borderId="4" xfId="0" applyNumberFormat="1" applyFont="1" applyBorder="1"/>
    <xf numFmtId="0" fontId="96" fillId="53" borderId="4" xfId="0" applyFont="1" applyFill="1" applyBorder="1" applyAlignment="1">
      <alignment horizontal="center" vertical="center"/>
    </xf>
    <xf numFmtId="168" fontId="0" fillId="0" borderId="4" xfId="287" applyNumberFormat="1" applyFont="1" applyBorder="1"/>
    <xf numFmtId="4" fontId="0" fillId="0" borderId="4" xfId="0" applyNumberFormat="1" applyBorder="1"/>
    <xf numFmtId="168" fontId="83" fillId="50" borderId="4" xfId="287" applyNumberFormat="1" applyFont="1" applyFill="1" applyBorder="1" applyAlignment="1">
      <alignment horizontal="center" vertical="center"/>
    </xf>
    <xf numFmtId="0" fontId="0" fillId="54" borderId="4" xfId="0" applyFill="1" applyBorder="1" applyAlignment="1">
      <alignment horizontal="center" vertical="center" wrapText="1"/>
    </xf>
    <xf numFmtId="3" fontId="0" fillId="55" borderId="4" xfId="0" applyNumberFormat="1" applyFill="1" applyBorder="1" applyAlignment="1">
      <alignment horizontal="center" vertical="center" wrapText="1"/>
    </xf>
    <xf numFmtId="3" fontId="73" fillId="55" borderId="4" xfId="0" applyNumberFormat="1" applyFont="1" applyFill="1" applyBorder="1" applyAlignment="1">
      <alignment horizontal="center" vertical="center" wrapText="1"/>
    </xf>
    <xf numFmtId="0" fontId="96" fillId="56" borderId="4" xfId="0" applyFont="1" applyFill="1" applyBorder="1" applyAlignment="1">
      <alignment horizontal="center" vertical="center" wrapText="1"/>
    </xf>
    <xf numFmtId="3" fontId="96" fillId="56" borderId="4" xfId="0" applyNumberFormat="1" applyFont="1" applyFill="1" applyBorder="1"/>
    <xf numFmtId="0" fontId="73" fillId="57" borderId="4" xfId="0" applyFont="1" applyFill="1" applyBorder="1" applyAlignment="1">
      <alignment horizontal="center" vertical="center"/>
    </xf>
    <xf numFmtId="0" fontId="73" fillId="55" borderId="20" xfId="0" applyFont="1" applyFill="1" applyBorder="1"/>
    <xf numFmtId="3" fontId="96" fillId="57" borderId="4" xfId="0" applyNumberFormat="1" applyFont="1" applyFill="1" applyBorder="1" applyAlignment="1">
      <alignment horizontal="center" vertical="center"/>
    </xf>
    <xf numFmtId="3" fontId="0" fillId="55" borderId="4" xfId="0" applyNumberFormat="1" applyFill="1" applyBorder="1"/>
    <xf numFmtId="3" fontId="96" fillId="55" borderId="4" xfId="0" applyNumberFormat="1" applyFont="1" applyFill="1" applyBorder="1"/>
    <xf numFmtId="4" fontId="98" fillId="49" borderId="4" xfId="0" applyNumberFormat="1" applyFont="1" applyFill="1" applyBorder="1" applyAlignment="1">
      <alignment horizontal="center"/>
    </xf>
    <xf numFmtId="168" fontId="98" fillId="0" borderId="4" xfId="287" applyNumberFormat="1" applyFont="1" applyBorder="1"/>
    <xf numFmtId="168" fontId="96" fillId="0" borderId="4" xfId="287" applyNumberFormat="1" applyFont="1" applyBorder="1" applyAlignment="1">
      <alignment horizontal="center"/>
    </xf>
    <xf numFmtId="0" fontId="73" fillId="51" borderId="4" xfId="0" applyFont="1" applyFill="1" applyBorder="1" applyAlignment="1">
      <alignment horizontal="center" vertical="center"/>
    </xf>
    <xf numFmtId="0" fontId="98" fillId="52" borderId="4" xfId="0" applyFont="1" applyFill="1" applyBorder="1" applyAlignment="1">
      <alignment horizontal="center" vertical="center" wrapText="1"/>
    </xf>
    <xf numFmtId="0" fontId="96" fillId="52" borderId="4" xfId="0" applyFont="1" applyFill="1" applyBorder="1" applyAlignment="1">
      <alignment horizontal="center" vertical="center" wrapText="1"/>
    </xf>
    <xf numFmtId="0" fontId="13" fillId="51" borderId="4" xfId="0" applyFont="1" applyFill="1" applyBorder="1"/>
    <xf numFmtId="0" fontId="0" fillId="51" borderId="4" xfId="0" applyFill="1" applyBorder="1"/>
    <xf numFmtId="0" fontId="0" fillId="52" borderId="4" xfId="0" applyFill="1" applyBorder="1"/>
    <xf numFmtId="0" fontId="98" fillId="51" borderId="4" xfId="0" applyFont="1" applyFill="1" applyBorder="1" applyAlignment="1">
      <alignment wrapText="1"/>
    </xf>
    <xf numFmtId="0" fontId="99" fillId="51" borderId="4" xfId="0" applyFont="1" applyFill="1" applyBorder="1" applyAlignment="1">
      <alignment wrapText="1"/>
    </xf>
    <xf numFmtId="0" fontId="98" fillId="52" borderId="4" xfId="0" applyFont="1" applyFill="1" applyBorder="1"/>
    <xf numFmtId="0" fontId="99" fillId="52" borderId="4" xfId="0" applyFont="1" applyFill="1" applyBorder="1"/>
    <xf numFmtId="0" fontId="13" fillId="0" borderId="0" xfId="224"/>
    <xf numFmtId="0" fontId="98" fillId="52" borderId="4" xfId="0" applyFont="1" applyFill="1" applyBorder="1" applyAlignment="1">
      <alignment vertical="center"/>
    </xf>
    <xf numFmtId="0" fontId="98" fillId="52" borderId="4" xfId="0" applyFont="1" applyFill="1" applyBorder="1" applyAlignment="1">
      <alignment horizontal="left" vertical="center" indent="1"/>
    </xf>
    <xf numFmtId="3" fontId="0" fillId="52" borderId="4" xfId="0" applyNumberFormat="1" applyFill="1" applyBorder="1"/>
    <xf numFmtId="3" fontId="99" fillId="57" borderId="4" xfId="0" applyNumberFormat="1" applyFont="1" applyFill="1" applyBorder="1"/>
    <xf numFmtId="0" fontId="99" fillId="57" borderId="4" xfId="0" applyFont="1" applyFill="1" applyBorder="1" applyAlignment="1">
      <alignment horizontal="center" vertical="center" wrapText="1"/>
    </xf>
    <xf numFmtId="4" fontId="0" fillId="55" borderId="4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98" fillId="69" borderId="4" xfId="0" applyFont="1" applyFill="1" applyBorder="1" applyAlignment="1">
      <alignment horizontal="center" vertical="center" wrapText="1"/>
    </xf>
    <xf numFmtId="0" fontId="98" fillId="40" borderId="4" xfId="0" applyFont="1" applyFill="1" applyBorder="1" applyAlignment="1">
      <alignment horizontal="center" vertical="center" wrapText="1"/>
    </xf>
    <xf numFmtId="168" fontId="0" fillId="57" borderId="4" xfId="545" applyNumberFormat="1" applyFont="1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51" borderId="4" xfId="0" applyFill="1" applyBorder="1" applyAlignment="1">
      <alignment horizontal="center" vertical="center" wrapText="1"/>
    </xf>
    <xf numFmtId="0" fontId="98" fillId="53" borderId="41" xfId="0" applyFont="1" applyFill="1" applyBorder="1" applyAlignment="1">
      <alignment horizontal="center" vertical="center"/>
    </xf>
    <xf numFmtId="0" fontId="0" fillId="40" borderId="0" xfId="0" applyFill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259" fontId="5" fillId="0" borderId="0" xfId="0" applyNumberFormat="1" applyFont="1"/>
    <xf numFmtId="164" fontId="8" fillId="0" borderId="0" xfId="0" applyNumberFormat="1" applyFont="1" applyBorder="1"/>
    <xf numFmtId="165" fontId="9" fillId="0" borderId="0" xfId="207" applyNumberFormat="1" applyFont="1" applyFill="1" applyBorder="1" applyAlignment="1">
      <alignment horizontal="center"/>
    </xf>
    <xf numFmtId="0" fontId="3" fillId="33" borderId="0" xfId="0" applyFont="1" applyFill="1" applyBorder="1" applyAlignment="1">
      <alignment horizontal="center" vertical="center" wrapText="1"/>
    </xf>
    <xf numFmtId="216" fontId="84" fillId="43" borderId="4" xfId="207" applyNumberFormat="1" applyFont="1" applyFill="1" applyBorder="1" applyAlignment="1">
      <alignment vertical="center"/>
    </xf>
    <xf numFmtId="10" fontId="0" fillId="0" borderId="0" xfId="240" applyNumberFormat="1" applyFont="1"/>
    <xf numFmtId="0" fontId="163" fillId="41" borderId="4" xfId="0" applyFont="1" applyFill="1" applyBorder="1" applyAlignment="1">
      <alignment horizontal="left" vertical="center" wrapText="1"/>
    </xf>
    <xf numFmtId="0" fontId="13" fillId="41" borderId="4" xfId="0" applyFont="1" applyFill="1" applyBorder="1" applyAlignment="1">
      <alignment horizontal="left" vertical="center" wrapText="1"/>
    </xf>
    <xf numFmtId="4" fontId="93" fillId="41" borderId="4" xfId="0" applyNumberFormat="1" applyFont="1" applyFill="1" applyBorder="1" applyAlignment="1">
      <alignment vertical="center"/>
    </xf>
    <xf numFmtId="0" fontId="0" fillId="41" borderId="4" xfId="0" applyFill="1" applyBorder="1" applyAlignment="1">
      <alignment horizontal="left" vertical="center" wrapText="1" indent="1"/>
    </xf>
    <xf numFmtId="4" fontId="89" fillId="43" borderId="4" xfId="0" applyNumberFormat="1" applyFont="1" applyFill="1" applyBorder="1" applyAlignment="1">
      <alignment vertical="center"/>
    </xf>
    <xf numFmtId="0" fontId="0" fillId="41" borderId="4" xfId="0" applyFill="1" applyBorder="1" applyAlignment="1">
      <alignment horizontal="right" vertical="center" wrapText="1"/>
    </xf>
    <xf numFmtId="3" fontId="89" fillId="43" borderId="4" xfId="0" applyNumberFormat="1" applyFont="1" applyFill="1" applyBorder="1" applyAlignment="1">
      <alignment vertical="center"/>
    </xf>
    <xf numFmtId="3" fontId="170" fillId="43" borderId="4" xfId="0" applyNumberFormat="1" applyFont="1" applyFill="1" applyBorder="1" applyAlignment="1">
      <alignment vertical="center"/>
    </xf>
    <xf numFmtId="4" fontId="171" fillId="41" borderId="4" xfId="0" applyNumberFormat="1" applyFont="1" applyFill="1" applyBorder="1" applyAlignment="1">
      <alignment vertical="center"/>
    </xf>
    <xf numFmtId="0" fontId="3" fillId="33" borderId="0" xfId="228" applyFont="1" applyFill="1" applyAlignment="1">
      <alignment vertical="center"/>
    </xf>
    <xf numFmtId="166" fontId="9" fillId="0" borderId="17" xfId="207" applyNumberFormat="1" applyFont="1" applyFill="1" applyBorder="1" applyAlignment="1">
      <alignment horizontal="right" vertical="center"/>
    </xf>
    <xf numFmtId="166" fontId="9" fillId="0" borderId="18" xfId="207" applyNumberFormat="1" applyFont="1" applyFill="1" applyBorder="1" applyAlignment="1">
      <alignment horizontal="right" vertical="center"/>
    </xf>
    <xf numFmtId="0" fontId="87" fillId="40" borderId="0" xfId="0" applyFont="1" applyFill="1" applyAlignment="1">
      <alignment horizontal="center" vertical="center"/>
    </xf>
    <xf numFmtId="208" fontId="163" fillId="41" borderId="4" xfId="0" applyNumberFormat="1" applyFont="1" applyFill="1" applyBorder="1" applyAlignment="1">
      <alignment horizontal="right" vertical="center" wrapText="1"/>
    </xf>
    <xf numFmtId="208" fontId="76" fillId="36" borderId="42" xfId="0" applyNumberFormat="1" applyFont="1" applyFill="1" applyBorder="1" applyAlignment="1">
      <alignment vertical="center"/>
    </xf>
    <xf numFmtId="0" fontId="82" fillId="0" borderId="0" xfId="0" applyFont="1" applyFill="1"/>
    <xf numFmtId="165" fontId="9" fillId="0" borderId="0" xfId="207" applyNumberFormat="1" applyFont="1" applyFill="1" applyBorder="1" applyAlignment="1">
      <alignment horizontal="center"/>
    </xf>
    <xf numFmtId="0" fontId="73" fillId="41" borderId="0" xfId="0" applyFont="1" applyFill="1"/>
    <xf numFmtId="0" fontId="0" fillId="41" borderId="0" xfId="0" applyFill="1"/>
    <xf numFmtId="0" fontId="0" fillId="0" borderId="0" xfId="0" applyFill="1" applyBorder="1"/>
    <xf numFmtId="168" fontId="0" fillId="0" borderId="0" xfId="631" applyNumberFormat="1" applyFont="1" applyAlignment="1">
      <alignment horizontal="left"/>
    </xf>
    <xf numFmtId="0" fontId="84" fillId="50" borderId="4" xfId="0" applyFont="1" applyFill="1" applyBorder="1"/>
    <xf numFmtId="9" fontId="84" fillId="50" borderId="4" xfId="0" applyNumberFormat="1" applyFont="1" applyFill="1" applyBorder="1"/>
    <xf numFmtId="169" fontId="5" fillId="0" borderId="0" xfId="0" applyNumberFormat="1" applyFont="1"/>
    <xf numFmtId="4" fontId="0" fillId="0" borderId="0" xfId="631" applyNumberFormat="1" applyFont="1" applyAlignment="1">
      <alignment horizontal="left"/>
    </xf>
    <xf numFmtId="3" fontId="175" fillId="50" borderId="4" xfId="0" applyNumberFormat="1" applyFont="1" applyFill="1" applyBorder="1"/>
    <xf numFmtId="3" fontId="176" fillId="50" borderId="4" xfId="0" applyNumberFormat="1" applyFont="1" applyFill="1" applyBorder="1"/>
    <xf numFmtId="10" fontId="98" fillId="0" borderId="4" xfId="287" applyNumberFormat="1" applyFont="1" applyBorder="1"/>
    <xf numFmtId="4" fontId="96" fillId="0" borderId="4" xfId="0" applyNumberFormat="1" applyFont="1" applyBorder="1"/>
    <xf numFmtId="217" fontId="0" fillId="0" borderId="0" xfId="631" applyNumberFormat="1" applyFont="1"/>
    <xf numFmtId="0" fontId="162" fillId="50" borderId="4" xfId="224" applyFont="1" applyFill="1" applyBorder="1" applyAlignment="1">
      <alignment horizontal="center" vertical="center"/>
    </xf>
    <xf numFmtId="4" fontId="162" fillId="50" borderId="4" xfId="224" applyNumberFormat="1" applyFont="1" applyFill="1" applyBorder="1" applyAlignment="1">
      <alignment horizontal="center" vertical="center"/>
    </xf>
    <xf numFmtId="216" fontId="177" fillId="70" borderId="4" xfId="207" applyNumberFormat="1" applyFont="1" applyFill="1" applyBorder="1" applyAlignment="1">
      <alignment vertical="center"/>
    </xf>
    <xf numFmtId="168" fontId="0" fillId="0" borderId="0" xfId="631" applyNumberFormat="1" applyFont="1"/>
    <xf numFmtId="10" fontId="0" fillId="0" borderId="0" xfId="631" applyNumberFormat="1" applyFont="1"/>
    <xf numFmtId="10" fontId="171" fillId="70" borderId="0" xfId="240" applyNumberFormat="1" applyFont="1" applyFill="1"/>
    <xf numFmtId="4" fontId="5" fillId="0" borderId="0" xfId="0" quotePrefix="1" applyNumberFormat="1" applyFont="1"/>
    <xf numFmtId="4" fontId="5" fillId="0" borderId="0" xfId="0" applyNumberFormat="1" applyFont="1" applyAlignment="1">
      <alignment wrapText="1"/>
    </xf>
    <xf numFmtId="4" fontId="5" fillId="0" borderId="0" xfId="0" quotePrefix="1" applyNumberFormat="1" applyFont="1" applyAlignment="1">
      <alignment wrapText="1"/>
    </xf>
    <xf numFmtId="3" fontId="179" fillId="70" borderId="0" xfId="0" applyNumberFormat="1" applyFont="1" applyFill="1"/>
    <xf numFmtId="0" fontId="92" fillId="40" borderId="0" xfId="633" applyFill="1" applyAlignment="1">
      <alignment horizontal="center" vertical="top" wrapText="1"/>
    </xf>
    <xf numFmtId="10" fontId="0" fillId="40" borderId="0" xfId="634" applyNumberFormat="1" applyFont="1" applyFill="1" applyAlignment="1">
      <alignment horizontal="center" vertical="top" wrapText="1"/>
    </xf>
    <xf numFmtId="168" fontId="94" fillId="0" borderId="0" xfId="631" applyNumberFormat="1" applyFont="1"/>
    <xf numFmtId="3" fontId="0" fillId="52" borderId="0" xfId="0" applyNumberFormat="1" applyFill="1" applyBorder="1"/>
    <xf numFmtId="10" fontId="76" fillId="36" borderId="22" xfId="631" applyNumberFormat="1" applyFont="1" applyFill="1" applyBorder="1" applyAlignment="1">
      <alignment vertical="center"/>
    </xf>
    <xf numFmtId="212" fontId="5" fillId="0" borderId="0" xfId="0" applyNumberFormat="1" applyFont="1"/>
    <xf numFmtId="208" fontId="0" fillId="0" borderId="0" xfId="0" applyNumberFormat="1"/>
    <xf numFmtId="2" fontId="0" fillId="0" borderId="0" xfId="0" applyNumberFormat="1"/>
    <xf numFmtId="10" fontId="13" fillId="0" borderId="0" xfId="241" applyNumberFormat="1"/>
    <xf numFmtId="9" fontId="13" fillId="0" borderId="0" xfId="224" applyNumberFormat="1"/>
    <xf numFmtId="9" fontId="0" fillId="0" borderId="0" xfId="0" applyNumberFormat="1"/>
    <xf numFmtId="165" fontId="9" fillId="0" borderId="17" xfId="207" applyNumberFormat="1" applyFont="1" applyFill="1" applyBorder="1" applyAlignment="1">
      <alignment horizontal="center"/>
    </xf>
    <xf numFmtId="165" fontId="9" fillId="0" borderId="0" xfId="207" applyNumberFormat="1" applyFont="1" applyFill="1" applyBorder="1" applyAlignment="1">
      <alignment horizontal="center"/>
    </xf>
    <xf numFmtId="165" fontId="9" fillId="0" borderId="18" xfId="207" applyNumberFormat="1" applyFont="1" applyFill="1" applyBorder="1" applyAlignment="1">
      <alignment horizontal="center"/>
    </xf>
    <xf numFmtId="4" fontId="0" fillId="0" borderId="0" xfId="0" applyNumberFormat="1" applyAlignment="1">
      <alignment vertical="center"/>
    </xf>
    <xf numFmtId="208" fontId="0" fillId="0" borderId="0" xfId="0" applyNumberFormat="1" applyAlignment="1">
      <alignment vertical="center"/>
    </xf>
    <xf numFmtId="169" fontId="93" fillId="7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260" fontId="0" fillId="0" borderId="0" xfId="0" applyNumberFormat="1"/>
    <xf numFmtId="203" fontId="0" fillId="0" borderId="0" xfId="0" applyNumberFormat="1" applyAlignment="1">
      <alignment vertical="center"/>
    </xf>
    <xf numFmtId="203" fontId="0" fillId="0" borderId="0" xfId="0" applyNumberFormat="1"/>
    <xf numFmtId="4" fontId="174" fillId="0" borderId="0" xfId="0" applyNumberFormat="1" applyFont="1" applyFill="1" applyBorder="1" applyAlignment="1">
      <alignment horizontal="center" vertical="center" wrapText="1"/>
    </xf>
    <xf numFmtId="4" fontId="91" fillId="0" borderId="0" xfId="0" applyNumberFormat="1" applyFont="1" applyFill="1" applyBorder="1" applyAlignment="1">
      <alignment horizontal="center" vertical="center" wrapText="1"/>
    </xf>
    <xf numFmtId="0" fontId="173" fillId="0" borderId="0" xfId="0" applyFont="1" applyFill="1"/>
    <xf numFmtId="0" fontId="5" fillId="0" borderId="0" xfId="0" applyFont="1" applyFill="1"/>
    <xf numFmtId="0" fontId="96" fillId="0" borderId="0" xfId="0" applyFont="1" applyFill="1" applyBorder="1" applyAlignment="1">
      <alignment horizontal="center" vertical="center"/>
    </xf>
    <xf numFmtId="0" fontId="96" fillId="0" borderId="26" xfId="0" applyFont="1" applyFill="1" applyBorder="1" applyAlignment="1">
      <alignment horizontal="center" vertical="center"/>
    </xf>
    <xf numFmtId="0" fontId="11" fillId="33" borderId="0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3" fontId="96" fillId="0" borderId="0" xfId="0" applyNumberFormat="1" applyFont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4" fontId="74" fillId="0" borderId="0" xfId="0" applyNumberFormat="1" applyFont="1" applyBorder="1" applyAlignment="1">
      <alignment horizontal="center"/>
    </xf>
    <xf numFmtId="4" fontId="0" fillId="0" borderId="26" xfId="0" applyNumberFormat="1" applyBorder="1"/>
    <xf numFmtId="43" fontId="5" fillId="0" borderId="17" xfId="207" applyNumberFormat="1" applyFont="1" applyBorder="1" applyAlignment="1">
      <alignment horizontal="center"/>
    </xf>
    <xf numFmtId="43" fontId="5" fillId="0" borderId="18" xfId="207" applyNumberFormat="1" applyFont="1" applyBorder="1" applyAlignment="1">
      <alignment horizontal="center"/>
    </xf>
    <xf numFmtId="43" fontId="5" fillId="0" borderId="0" xfId="207" applyNumberFormat="1" applyFont="1" applyBorder="1" applyAlignment="1">
      <alignment vertical="center"/>
    </xf>
    <xf numFmtId="164" fontId="5" fillId="0" borderId="0" xfId="0" quotePrefix="1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5" fontId="12" fillId="0" borderId="0" xfId="207" applyNumberFormat="1" applyFont="1" applyFill="1" applyBorder="1" applyAlignment="1">
      <alignment horizontal="center"/>
    </xf>
    <xf numFmtId="208" fontId="86" fillId="0" borderId="0" xfId="0" applyNumberFormat="1" applyFont="1" applyFill="1"/>
    <xf numFmtId="169" fontId="93" fillId="0" borderId="0" xfId="0" applyNumberFormat="1" applyFont="1" applyFill="1" applyAlignment="1">
      <alignment vertical="center"/>
    </xf>
    <xf numFmtId="0" fontId="1" fillId="0" borderId="0" xfId="219" applyNumberFormat="1" applyFont="1" applyFill="1" applyAlignment="1">
      <alignment horizontal="center"/>
    </xf>
    <xf numFmtId="208" fontId="1" fillId="0" borderId="0" xfId="219" applyNumberFormat="1" applyFont="1" applyFill="1"/>
    <xf numFmtId="17" fontId="180" fillId="37" borderId="4" xfId="283" applyNumberFormat="1" applyFont="1" applyFill="1" applyBorder="1" applyAlignment="1">
      <alignment horizontal="center" vertical="center"/>
    </xf>
    <xf numFmtId="0" fontId="13" fillId="0" borderId="4" xfId="286" applyFont="1" applyBorder="1" applyAlignment="1"/>
    <xf numFmtId="3" fontId="79" fillId="0" borderId="4" xfId="286" applyNumberFormat="1" applyBorder="1" applyAlignment="1"/>
    <xf numFmtId="10" fontId="79" fillId="0" borderId="4" xfId="240" applyNumberFormat="1" applyFont="1" applyBorder="1" applyAlignment="1"/>
    <xf numFmtId="10" fontId="0" fillId="0" borderId="0" xfId="0" applyNumberFormat="1" applyFill="1"/>
    <xf numFmtId="4" fontId="96" fillId="57" borderId="4" xfId="0" applyNumberFormat="1" applyFont="1" applyFill="1" applyBorder="1" applyAlignment="1">
      <alignment horizontal="center" vertical="center"/>
    </xf>
    <xf numFmtId="17" fontId="97" fillId="0" borderId="24" xfId="288" applyNumberFormat="1" applyFont="1" applyFill="1" applyBorder="1" applyAlignment="1">
      <alignment horizontal="center" vertical="center"/>
    </xf>
    <xf numFmtId="0" fontId="0" fillId="0" borderId="24" xfId="0" applyFill="1" applyBorder="1"/>
    <xf numFmtId="168" fontId="83" fillId="0" borderId="0" xfId="287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172" fillId="0" borderId="0" xfId="0" applyFont="1" applyBorder="1" applyAlignment="1">
      <alignment horizontal="center" vertical="center" wrapText="1"/>
    </xf>
    <xf numFmtId="168" fontId="172" fillId="0" borderId="0" xfId="631" applyNumberFormat="1" applyFont="1" applyBorder="1" applyAlignment="1">
      <alignment horizontal="center" vertical="center" wrapText="1"/>
    </xf>
    <xf numFmtId="0" fontId="0" fillId="41" borderId="0" xfId="0" applyFill="1" applyAlignment="1">
      <alignment horizontal="center"/>
    </xf>
    <xf numFmtId="10" fontId="0" fillId="0" borderId="4" xfId="631" applyNumberFormat="1" applyFont="1" applyBorder="1"/>
    <xf numFmtId="2" fontId="0" fillId="40" borderId="0" xfId="207" applyNumberFormat="1" applyFont="1" applyFill="1" applyAlignment="1">
      <alignment horizontal="center" vertical="top" wrapText="1"/>
    </xf>
    <xf numFmtId="0" fontId="5" fillId="36" borderId="17" xfId="0" applyFont="1" applyFill="1" applyBorder="1" applyAlignment="1">
      <alignment horizontal="center"/>
    </xf>
    <xf numFmtId="0" fontId="5" fillId="36" borderId="0" xfId="0" applyFont="1" applyFill="1" applyBorder="1" applyAlignment="1">
      <alignment horizontal="center"/>
    </xf>
    <xf numFmtId="0" fontId="5" fillId="36" borderId="18" xfId="0" applyFont="1" applyFill="1" applyBorder="1" applyAlignment="1">
      <alignment horizontal="center"/>
    </xf>
    <xf numFmtId="3" fontId="5" fillId="36" borderId="0" xfId="0" applyNumberFormat="1" applyFont="1" applyFill="1"/>
    <xf numFmtId="4" fontId="0" fillId="36" borderId="4" xfId="0" applyNumberFormat="1" applyFill="1" applyBorder="1"/>
    <xf numFmtId="168" fontId="172" fillId="36" borderId="4" xfId="631" applyNumberFormat="1" applyFont="1" applyFill="1" applyBorder="1" applyAlignment="1">
      <alignment horizontal="center" vertical="center" wrapText="1"/>
    </xf>
    <xf numFmtId="168" fontId="172" fillId="36" borderId="4" xfId="241" applyNumberFormat="1" applyFont="1" applyFill="1" applyBorder="1" applyAlignment="1">
      <alignment horizontal="center" vertical="center" wrapText="1"/>
    </xf>
    <xf numFmtId="3" fontId="0" fillId="36" borderId="4" xfId="0" applyNumberFormat="1" applyFill="1" applyBorder="1"/>
    <xf numFmtId="4" fontId="0" fillId="36" borderId="0" xfId="0" applyNumberFormat="1" applyFill="1" applyAlignment="1">
      <alignment vertical="center"/>
    </xf>
    <xf numFmtId="208" fontId="0" fillId="36" borderId="0" xfId="0" applyNumberFormat="1" applyFill="1" applyAlignment="1">
      <alignment vertical="center"/>
    </xf>
    <xf numFmtId="10" fontId="0" fillId="36" borderId="0" xfId="545" applyNumberFormat="1" applyFont="1" applyFill="1" applyAlignment="1">
      <alignment horizontal="center" vertical="top" wrapText="1"/>
    </xf>
    <xf numFmtId="1" fontId="0" fillId="36" borderId="0" xfId="207" applyNumberFormat="1" applyFont="1" applyFill="1" applyAlignment="1">
      <alignment horizontal="center" vertical="top" wrapText="1"/>
    </xf>
    <xf numFmtId="0" fontId="0" fillId="36" borderId="4" xfId="0" applyFill="1" applyBorder="1" applyAlignment="1">
      <alignment horizontal="center" vertical="center" wrapText="1"/>
    </xf>
    <xf numFmtId="3" fontId="99" fillId="36" borderId="4" xfId="0" applyNumberFormat="1" applyFont="1" applyFill="1" applyBorder="1"/>
    <xf numFmtId="3" fontId="98" fillId="36" borderId="4" xfId="0" applyNumberFormat="1" applyFont="1" applyFill="1" applyBorder="1"/>
    <xf numFmtId="3" fontId="90" fillId="36" borderId="4" xfId="0" applyNumberFormat="1" applyFont="1" applyFill="1" applyBorder="1"/>
    <xf numFmtId="3" fontId="0" fillId="0" borderId="4" xfId="0" applyNumberFormat="1" applyFill="1" applyBorder="1"/>
    <xf numFmtId="4" fontId="0" fillId="0" borderId="0" xfId="0" applyNumberFormat="1" applyFill="1" applyAlignment="1">
      <alignment vertical="center"/>
    </xf>
    <xf numFmtId="261" fontId="0" fillId="0" borderId="0" xfId="0" applyNumberFormat="1"/>
    <xf numFmtId="2" fontId="0" fillId="0" borderId="0" xfId="0" applyNumberFormat="1" applyFill="1" applyAlignment="1">
      <alignment vertical="center"/>
    </xf>
    <xf numFmtId="262" fontId="0" fillId="0" borderId="0" xfId="0" applyNumberFormat="1"/>
    <xf numFmtId="3" fontId="0" fillId="36" borderId="4" xfId="0" applyNumberFormat="1" applyFill="1" applyBorder="1" applyAlignment="1">
      <alignment horizontal="center" vertical="center"/>
    </xf>
    <xf numFmtId="3" fontId="0" fillId="36" borderId="4" xfId="0" applyNumberForma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0" fontId="0" fillId="0" borderId="4" xfId="631" applyNumberFormat="1" applyFont="1" applyFill="1" applyBorder="1"/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78" fillId="37" borderId="0" xfId="0" applyNumberFormat="1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78" fillId="37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/>
    </xf>
    <xf numFmtId="0" fontId="5" fillId="0" borderId="0" xfId="0" applyFont="1" applyAlignment="1">
      <alignment horizontal="justify"/>
    </xf>
    <xf numFmtId="0" fontId="162" fillId="50" borderId="43" xfId="224" applyFont="1" applyFill="1" applyBorder="1" applyAlignment="1">
      <alignment vertical="center" wrapText="1"/>
    </xf>
    <xf numFmtId="3" fontId="0" fillId="36" borderId="20" xfId="0" applyNumberFormat="1" applyFill="1" applyBorder="1" applyAlignment="1"/>
    <xf numFmtId="3" fontId="0" fillId="36" borderId="6" xfId="0" applyNumberFormat="1" applyFill="1" applyBorder="1" applyAlignment="1"/>
    <xf numFmtId="3" fontId="0" fillId="36" borderId="21" xfId="0" applyNumberFormat="1" applyFill="1" applyBorder="1" applyAlignment="1"/>
    <xf numFmtId="3" fontId="73" fillId="0" borderId="20" xfId="0" applyNumberFormat="1" applyFont="1" applyBorder="1" applyAlignment="1"/>
    <xf numFmtId="3" fontId="73" fillId="0" borderId="6" xfId="0" applyNumberFormat="1" applyFont="1" applyBorder="1" applyAlignment="1"/>
    <xf numFmtId="3" fontId="73" fillId="0" borderId="21" xfId="0" applyNumberFormat="1" applyFont="1" applyBorder="1" applyAlignment="1"/>
    <xf numFmtId="0" fontId="73" fillId="45" borderId="20" xfId="0" applyFont="1" applyFill="1" applyBorder="1" applyAlignment="1">
      <alignment horizontal="center"/>
    </xf>
    <xf numFmtId="0" fontId="73" fillId="45" borderId="6" xfId="0" applyFont="1" applyFill="1" applyBorder="1" applyAlignment="1">
      <alignment horizontal="center"/>
    </xf>
    <xf numFmtId="0" fontId="73" fillId="45" borderId="21" xfId="0" applyFont="1" applyFill="1" applyBorder="1" applyAlignment="1">
      <alignment horizontal="center"/>
    </xf>
    <xf numFmtId="3" fontId="0" fillId="0" borderId="20" xfId="0" applyNumberFormat="1" applyBorder="1" applyAlignment="1"/>
    <xf numFmtId="3" fontId="0" fillId="0" borderId="6" xfId="0" applyNumberFormat="1" applyBorder="1" applyAlignment="1"/>
    <xf numFmtId="3" fontId="0" fillId="0" borderId="21" xfId="0" applyNumberFormat="1" applyBorder="1" applyAlignment="1"/>
    <xf numFmtId="3" fontId="90" fillId="36" borderId="20" xfId="0" applyNumberFormat="1" applyFont="1" applyFill="1" applyBorder="1" applyAlignment="1"/>
    <xf numFmtId="3" fontId="90" fillId="36" borderId="6" xfId="0" applyNumberFormat="1" applyFont="1" applyFill="1" applyBorder="1" applyAlignment="1"/>
    <xf numFmtId="3" fontId="90" fillId="36" borderId="21" xfId="0" applyNumberFormat="1" applyFont="1" applyFill="1" applyBorder="1" applyAlignment="1"/>
  </cellXfs>
  <cellStyles count="635">
    <cellStyle name=" Task]_x000d__x000a_TaskName=Scan At_x000d__x000a_TaskID=3_x000d__x000a_WorkstationName=SmarTone_x000d__x000a_LastExecuted=0_x000d__x000a_LastSt" xfId="1"/>
    <cellStyle name="_x000a_shell=progma 2" xfId="289"/>
    <cellStyle name="#" xfId="290"/>
    <cellStyle name="%" xfId="2"/>
    <cellStyle name="%_00 Costos Plataforma de Pago" xfId="3"/>
    <cellStyle name="%_00 Costos Plataforma de Pago 2" xfId="4"/>
    <cellStyle name="%_00 Costos Plataforma de Pago 3" xfId="5"/>
    <cellStyle name="%_161147 HABER AB08" xfId="291"/>
    <cellStyle name="%_Actas_Val_Fin_AM_Octubre_2008" xfId="292"/>
    <cellStyle name="%_Actas_Val_Fin_MLC_Diciembre_2007" xfId="293"/>
    <cellStyle name="%_Actas_Val_Fin_Nextel_Agosto_2008" xfId="294"/>
    <cellStyle name="%_Actas_Val_Fin_Nextel_Fija_Abril_2008" xfId="295"/>
    <cellStyle name="%_Actas_Val_Fin_Nextel_Fija_Enero_2008" xfId="296"/>
    <cellStyle name="%_Actas_Val_Fin_Nextel_Fija_Junio_2008" xfId="297"/>
    <cellStyle name="%_Actas_Val_Fin_Nextel_Fija_Octubre_2008" xfId="298"/>
    <cellStyle name="%_Actas_Val_Fin_Nextel_Fija_Setiembre_2008" xfId="299"/>
    <cellStyle name="%_Actas_Val_Fin_Nextel_Julio_2008" xfId="300"/>
    <cellStyle name="%_Actas_Val_Fin_Nextel_Junio_2008" xfId="301"/>
    <cellStyle name="%_Actas_Val_Fin_Nextel_Mayo_2008" xfId="302"/>
    <cellStyle name="%_Actas_Val_Fin_TSM_Febrero_2008" xfId="303"/>
    <cellStyle name="%_Actas_Val_Prel_AM_Julio_2008" xfId="304"/>
    <cellStyle name="%_Actas_Val_Prel_AM_Setiembre_2008" xfId="305"/>
    <cellStyle name="%_Actas_Val_Prel_Nextel_Abril_2008" xfId="306"/>
    <cellStyle name="%_Actas_Val_Prel_Nextel_Agosto_2008" xfId="307"/>
    <cellStyle name="%_Actas_Val_Prel_Nextel_Julio_2008" xfId="308"/>
    <cellStyle name="%_Actas_Val_Prel_Nextel_Octubre_2007" xfId="309"/>
    <cellStyle name="%_Actas_Val_Prel_Nextel_Octubre_2008" xfId="310"/>
    <cellStyle name="%_Actas_Val_Prel_Nextel_Setiembre_2008" xfId="311"/>
    <cellStyle name="%_Actas_Val_Prel_Tim_Noviembre_2007" xfId="312"/>
    <cellStyle name="%_Actas_Val_Prel_Tim_Octubre_2007" xfId="313"/>
    <cellStyle name="%_Analisis de escenarios Area Virtual Movil" xfId="6"/>
    <cellStyle name="%_Datos_Costos_Plataforma_Prepago_2010 v2" xfId="7"/>
    <cellStyle name="(4) STM-1 (LECT)_x000d__x000a_PL-4579-M-039-99_x000d__x000a_FALTA APE" xfId="8"/>
    <cellStyle name="*MB Hardwired" xfId="314"/>
    <cellStyle name="*MB Input Table Calc" xfId="315"/>
    <cellStyle name="*MB Normal" xfId="316"/>
    <cellStyle name="*MB Placeholder" xfId="317"/>
    <cellStyle name="???" xfId="318"/>
    <cellStyle name="??_1951_0006" xfId="9"/>
    <cellStyle name="_0 - 3G Spain BOM Summary" xfId="319"/>
    <cellStyle name="_02 Network elements" xfId="10"/>
    <cellStyle name="_02 Network elements_00 Costos Plataforma de Pago" xfId="11"/>
    <cellStyle name="_02 Network elements_00 Costos Plataforma de Pago 2" xfId="12"/>
    <cellStyle name="_02 Network elements_00 Costos Plataforma de Pago 3" xfId="13"/>
    <cellStyle name="_02 Network elements_Datos_Costos_Plataforma_Prepago_2010 v2" xfId="14"/>
    <cellStyle name="_1xRTT 3rd Carrier B-Form V.02 221102" xfId="15"/>
    <cellStyle name="_ADICIONALES Rev FA (2)" xfId="320"/>
    <cellStyle name="_Anexo 16.7.2 Planilha de Preços Unitários Rede GSM  Darw" xfId="16"/>
    <cellStyle name="_Anexo 16.7.2 Planilha de Preços Unitários Rede GSM  Darw_00 Costos Plataforma de Pago" xfId="17"/>
    <cellStyle name="_Anexo 16.7.2 Planilha de Preços Unitários Rede GSM  Darw_00 Costos Plataforma de Pago 2" xfId="18"/>
    <cellStyle name="_Anexo 16.7.2 Planilha de Preços Unitários Rede GSM  Darw_00 Costos Plataforma de Pago 3" xfId="19"/>
    <cellStyle name="_Anexo 16.7.2 Planilha de Preços Unitários Rede GSM  Darw_Datos_Costos_Plataforma_Prepago_2010 v2" xfId="20"/>
    <cellStyle name="_Atención a Terceros" xfId="321"/>
    <cellStyle name="_Bonos 2008 (Bono por cartera)" xfId="322"/>
    <cellStyle name="_BTS comp and discount structure V.11" xfId="21"/>
    <cellStyle name="_BTS comp and discount structure V.11_00 Costos Plataforma de Pago" xfId="22"/>
    <cellStyle name="_BTS comp and discount structure V.11_00 Costos Plataforma de Pago 2" xfId="23"/>
    <cellStyle name="_BTS comp and discount structure V.11_00 Costos Plataforma de Pago 3" xfId="24"/>
    <cellStyle name="_BTS comp and discount structure V.11_Datos_Costos_Plataforma_Prepago_2010 v2" xfId="25"/>
    <cellStyle name="_BTS EQUIPOS + TI (4)" xfId="26"/>
    <cellStyle name="_CAL CE041 01 06 REV B OA" xfId="323"/>
    <cellStyle name="_CAL CE041 03 06 OE" xfId="324"/>
    <cellStyle name="_CCPPs_General" xfId="325"/>
    <cellStyle name="_CCPPs_General_I. T. Fija 1" xfId="326"/>
    <cellStyle name="_Cimentación Torre 16set29" xfId="327"/>
    <cellStyle name="_Clientes_Tráfico_voz_Tráfico_datos (3)" xfId="328"/>
    <cellStyle name="_Cobertura Fija IV trim" xfId="329"/>
    <cellStyle name="_Cobertura Móvil" xfId="330"/>
    <cellStyle name="_Cobertura Telefonía Móvil" xfId="331"/>
    <cellStyle name="_Comcel Phase 5 B-Form" xfId="27"/>
    <cellStyle name="_control de obras 30 01 07" xfId="332"/>
    <cellStyle name="_CRONO NUEVO SOMBRA_7" xfId="333"/>
    <cellStyle name="_Cronograma sombra azul por semana Abril Mayo Rev 2" xfId="334"/>
    <cellStyle name="_CUOTA ANUAL 2008 FINAL 02.04.2009" xfId="335"/>
    <cellStyle name="_Detalle de Gastos (PXQ)-2008 version 4" xfId="336"/>
    <cellStyle name="_Enviado a comercial 180806 -  Preciario CW -" xfId="337"/>
    <cellStyle name="_EQList Data Backbone PP15K-7K 100603 w COSTS" xfId="28"/>
    <cellStyle name="_EQList Data Backbone PP15K-7K 100603 w COSTS_00 Costos Plataforma de Pago" xfId="29"/>
    <cellStyle name="_EQList Data Backbone PP15K-7K 100603 w COSTS_00 Costos Plataforma de Pago 2" xfId="30"/>
    <cellStyle name="_EQList Data Backbone PP15K-7K 100603 w COSTS_00 Costos Plataforma de Pago 3" xfId="31"/>
    <cellStyle name="_EQList Data Backbone PP15K-7K 100603 w COSTS_Datos_Costos_Plataforma_Prepago_2010 v2" xfId="32"/>
    <cellStyle name="_EQList TdP OM4150 100603 - w COSTS" xfId="33"/>
    <cellStyle name="_EQList TdP OM4150 100603 - w COSTS_00 Costos Plataforma de Pago" xfId="34"/>
    <cellStyle name="_EQList TdP OM4150 100603 - w COSTS_00 Costos Plataforma de Pago 2" xfId="35"/>
    <cellStyle name="_EQList TdP OM4150 100603 - w COSTS_00 Costos Plataforma de Pago 3" xfId="36"/>
    <cellStyle name="_EQList TdP OM4150 100603 - w COSTS_Datos_Costos_Plataforma_Prepago_2010 v2" xfId="37"/>
    <cellStyle name="_Estaciones 2007 con coordenadas" xfId="338"/>
    <cellStyle name="_ESTADO AL  111006" xfId="339"/>
    <cellStyle name="_Estudio de Radioenlaces" xfId="340"/>
    <cellStyle name="_FICHAS_ENTREGADAS_EN SEP-DIC" xfId="341"/>
    <cellStyle name="_Global Comps - Full Service - 12 Jan  2001" xfId="38"/>
    <cellStyle name="_Global Comps - Full Service - 12 Jan  2001_Analisis de escenarios Area Virtual Movil" xfId="39"/>
    <cellStyle name="_Global Comps - Full Service - 18 June 2001" xfId="40"/>
    <cellStyle name="_Global Comps - Full Service - 18 June 2001_Analisis de escenarios Area Virtual Movil" xfId="41"/>
    <cellStyle name="_Global Comps - Full Service - 20 June 2001" xfId="42"/>
    <cellStyle name="_Global Comps - Full Service - 20 June 2001_Analisis de escenarios Area Virtual Movil" xfId="43"/>
    <cellStyle name="_Hoja1" xfId="342"/>
    <cellStyle name="_Hoja1_1" xfId="343"/>
    <cellStyle name="_Hoja1_2" xfId="344"/>
    <cellStyle name="_Hoja2" xfId="345"/>
    <cellStyle name="_Hoja3" xfId="346"/>
    <cellStyle name="_Hoja3_1" xfId="347"/>
    <cellStyle name="_Hoja3_Hoja1" xfId="348"/>
    <cellStyle name="_Hoja3_Hoja8" xfId="349"/>
    <cellStyle name="_Hoja4" xfId="350"/>
    <cellStyle name="_Hoja5" xfId="351"/>
    <cellStyle name="_Hoja8" xfId="352"/>
    <cellStyle name="_Hoja8_1" xfId="353"/>
    <cellStyle name="_Huawei Local Service Summary Table" xfId="354"/>
    <cellStyle name="_I Trim 2009" xfId="355"/>
    <cellStyle name="_I Trimestre" xfId="356"/>
    <cellStyle name="_I. T. Fija 1" xfId="357"/>
    <cellStyle name="_II Trimestre" xfId="358"/>
    <cellStyle name="_III Trimestre" xfId="359"/>
    <cellStyle name="_Info BS 050307" xfId="360"/>
    <cellStyle name="_IV Trimestre" xfId="361"/>
    <cellStyle name="_Leadcom Target" xfId="362"/>
    <cellStyle name="_Leadcoml_NOKIA BSS PACKTargets_June2005" xfId="363"/>
    <cellStyle name="_Libro1" xfId="364"/>
    <cellStyle name="_Libro2" xfId="365"/>
    <cellStyle name="_Libro6" xfId="366"/>
    <cellStyle name="_Lima y callao" xfId="367"/>
    <cellStyle name="_Listado REPs considerados" xfId="368"/>
    <cellStyle name="_MCIT" xfId="44"/>
    <cellStyle name="_MCIT_Analisis de escenarios Area Virtual Movil" xfId="45"/>
    <cellStyle name="_New WCOM" xfId="46"/>
    <cellStyle name="_New WCOM_Analisis de escenarios Area Virtual Movil" xfId="47"/>
    <cellStyle name="_Pagos por Concesión" xfId="369"/>
    <cellStyle name="_Plan2007" xfId="370"/>
    <cellStyle name="_PO 2007 Trabajo_15_02_07_copy" xfId="371"/>
    <cellStyle name="_PROYECTOS_SOMBRA_AZUL" xfId="372"/>
    <cellStyle name="_Reclamos" xfId="373"/>
    <cellStyle name="_Resumen Provincias Telefonica (2-SPM) v3" xfId="374"/>
    <cellStyle name="_Resumen Provincias Telefonica v2" xfId="375"/>
    <cellStyle name="_SERVICIO MÓVIL Y CABLE" xfId="376"/>
    <cellStyle name="_SITE_TOTAL" xfId="377"/>
    <cellStyle name="_Sombra_azul_2006" xfId="378"/>
    <cellStyle name="_Status de Implementaciones 13-09-06" xfId="379"/>
    <cellStyle name="_Torre 30 m- evaluado 120-2-p" xfId="380"/>
    <cellStyle name="_TRÁFICO" xfId="381"/>
    <cellStyle name="_tráfico (incluye I trimestre 2009) y clientes por tecnología" xfId="382"/>
    <cellStyle name="_Valorizacion RED Modelo Costos 2010 Version Final_2" xfId="48"/>
    <cellStyle name="_Valorizacion RED Modelo Costos 2010 Version Final_2_00 Costos Plataforma de Pago" xfId="49"/>
    <cellStyle name="_Valorizacion RED Modelo Costos 2010 Version Final_2_00 Costos Plataforma de Pago 2" xfId="50"/>
    <cellStyle name="_Valorizacion RED Modelo Costos 2010 Version Final_2_00 Costos Plataforma de Pago 3" xfId="51"/>
    <cellStyle name="_Valorizacion RED Modelo Costos 2010 Version Final_2_Datos_Costos_Plataforma_Prepago_2010 v2" xfId="52"/>
    <cellStyle name="_Valorizacion RED Modelo Costos 2010 Version Final_4 Revisada" xfId="53"/>
    <cellStyle name="_Valorizacion RED Modelo Costos 2010 Version Final_4 Revisada_00 Costos Plataforma de Pago" xfId="54"/>
    <cellStyle name="_Valorizacion RED Modelo Costos 2010 Version Final_4 Revisada_00 Costos Plataforma de Pago 2" xfId="55"/>
    <cellStyle name="_Valorizacion RED Modelo Costos 2010 Version Final_4 Revisada_00 Costos Plataforma de Pago 3" xfId="56"/>
    <cellStyle name="_Valorizacion RED Modelo Costos 2010 Version Final_4 Revisada_Datos_Costos_Plataforma_Prepago_2010 v2" xfId="57"/>
    <cellStyle name="_Verificación PO2007_FINAL" xfId="383"/>
    <cellStyle name="_VNTModellastestimates" xfId="58"/>
    <cellStyle name="_VNTModellastestimates_Analisis de escenarios Area Virtual Movil" xfId="59"/>
    <cellStyle name="=C:\WINDOWS\SYSTEM32\COMMAND.COM" xfId="60"/>
    <cellStyle name="=C:\WINNT\SYSTEM32\COMMAND.COM" xfId="61"/>
    <cellStyle name="=C:\WINNT35\SYSTEM32\COMMAND.COM" xfId="384"/>
    <cellStyle name="=C:\WINNT35\SYSTEM32\COMMAND.COM 3" xfId="385"/>
    <cellStyle name="•W_laroux" xfId="62"/>
    <cellStyle name="0,0_x000d__x000a_NA_x000d__x000a_" xfId="386"/>
    <cellStyle name="0000" xfId="63"/>
    <cellStyle name="000000" xfId="64"/>
    <cellStyle name="0UserFill" xfId="65"/>
    <cellStyle name="1" xfId="66"/>
    <cellStyle name="20% - Accent1" xfId="67"/>
    <cellStyle name="20% - Accent2" xfId="68"/>
    <cellStyle name="20% - Accent3" xfId="69"/>
    <cellStyle name="20% - Accent4" xfId="70"/>
    <cellStyle name="20% - Accent5" xfId="71"/>
    <cellStyle name="20% - Accent6" xfId="72"/>
    <cellStyle name="40% - Accent1" xfId="73"/>
    <cellStyle name="40% - Accent2" xfId="74"/>
    <cellStyle name="40% - Accent3" xfId="75"/>
    <cellStyle name="40% - Accent4" xfId="76"/>
    <cellStyle name="40% - Accent5" xfId="77"/>
    <cellStyle name="40% - Accent6" xfId="78"/>
    <cellStyle name="40% - Énfasis3 2" xfId="387"/>
    <cellStyle name="571" xfId="79"/>
    <cellStyle name="60% - Accent1" xfId="80"/>
    <cellStyle name="60% - Accent2" xfId="81"/>
    <cellStyle name="60% - Accent3" xfId="82"/>
    <cellStyle name="60% - Accent4" xfId="83"/>
    <cellStyle name="60% - Accent5" xfId="84"/>
    <cellStyle name="60% - Accent6" xfId="85"/>
    <cellStyle name="6mal" xfId="86"/>
    <cellStyle name="Accent1" xfId="87"/>
    <cellStyle name="Accent2" xfId="88"/>
    <cellStyle name="Accent3" xfId="89"/>
    <cellStyle name="Accent4" xfId="90"/>
    <cellStyle name="Accent5" xfId="91"/>
    <cellStyle name="Accent6" xfId="92"/>
    <cellStyle name="Actual Date" xfId="388"/>
    <cellStyle name="AFE" xfId="93"/>
    <cellStyle name="Año" xfId="389"/>
    <cellStyle name="args.style" xfId="94"/>
    <cellStyle name="Assumption" xfId="390"/>
    <cellStyle name="auf tausender" xfId="95"/>
    <cellStyle name="axlcolour" xfId="391"/>
    <cellStyle name="Bad" xfId="96"/>
    <cellStyle name="Billions" xfId="97"/>
    <cellStyle name="blank" xfId="98"/>
    <cellStyle name="Blue Heading" xfId="392"/>
    <cellStyle name="Board Level" xfId="393"/>
    <cellStyle name="BvDAddIn_Currency" xfId="99"/>
    <cellStyle name="Cabecera 1" xfId="394"/>
    <cellStyle name="Cabecera 2" xfId="395"/>
    <cellStyle name="Calc" xfId="396"/>
    <cellStyle name="Calc Currency (0)" xfId="100"/>
    <cellStyle name="Calc Currency (2)" xfId="101"/>
    <cellStyle name="Calc Percent (0)" xfId="102"/>
    <cellStyle name="Calc Percent (1)" xfId="103"/>
    <cellStyle name="Calc Percent (2)" xfId="104"/>
    <cellStyle name="Calc Units (0)" xfId="105"/>
    <cellStyle name="Calc Units (1)" xfId="106"/>
    <cellStyle name="Calc Units (2)" xfId="107"/>
    <cellStyle name="Calculation" xfId="108"/>
    <cellStyle name="Cancel" xfId="109"/>
    <cellStyle name="category" xfId="110"/>
    <cellStyle name="Check" xfId="397"/>
    <cellStyle name="Check Cell" xfId="111"/>
    <cellStyle name="Checksum" xfId="398"/>
    <cellStyle name="Code" xfId="399"/>
    <cellStyle name="Col_heading" xfId="400"/>
    <cellStyle name="Column Heading" xfId="401"/>
    <cellStyle name="Column Heading (No Wrap)" xfId="402"/>
    <cellStyle name="Column Heading_Demand Summary" xfId="403"/>
    <cellStyle name="Column label" xfId="404"/>
    <cellStyle name="Column label (left aligned)" xfId="405"/>
    <cellStyle name="Column label (no wrap)" xfId="406"/>
    <cellStyle name="Column label (not bold)" xfId="407"/>
    <cellStyle name="Column label (Wrap)" xfId="408"/>
    <cellStyle name="Column Total" xfId="409"/>
    <cellStyle name="Column_heading" xfId="410"/>
    <cellStyle name="Comma [0]" xfId="411"/>
    <cellStyle name="Comma [00]" xfId="112"/>
    <cellStyle name="Comma [2]" xfId="113"/>
    <cellStyle name="Comma 2" xfId="114"/>
    <cellStyle name="Comma 3" xfId="115"/>
    <cellStyle name="Comma.2" xfId="116"/>
    <cellStyle name="Comma_!!!GO" xfId="412"/>
    <cellStyle name="Comma0" xfId="117"/>
    <cellStyle name="Comma0 - Modelo1" xfId="118"/>
    <cellStyle name="Comma0 - Style1" xfId="119"/>
    <cellStyle name="Comma1 - Modelo2" xfId="120"/>
    <cellStyle name="Comma1 - Style2" xfId="121"/>
    <cellStyle name="Company Name" xfId="413"/>
    <cellStyle name="ContentsHyperlink" xfId="414"/>
    <cellStyle name="Copied" xfId="415"/>
    <cellStyle name="Cost_category_heading" xfId="416"/>
    <cellStyle name="COST1" xfId="417"/>
    <cellStyle name="Costs" xfId="418"/>
    <cellStyle name="Cuadro 1" xfId="419"/>
    <cellStyle name="Currency (2dp)" xfId="420"/>
    <cellStyle name="Currency [0]" xfId="421"/>
    <cellStyle name="Currency [00]" xfId="122"/>
    <cellStyle name="Currency Dollar" xfId="422"/>
    <cellStyle name="Currency Dollar (2dp)" xfId="423"/>
    <cellStyle name="Currency EUR" xfId="424"/>
    <cellStyle name="Currency EUR (2dp)" xfId="425"/>
    <cellStyle name="Currency Euro" xfId="426"/>
    <cellStyle name="Currency Euro (2dp)" xfId="427"/>
    <cellStyle name="Currency GBP" xfId="428"/>
    <cellStyle name="Currency GBP (2dp)" xfId="429"/>
    <cellStyle name="Currency Pound" xfId="430"/>
    <cellStyle name="Currency Pound (2dp)" xfId="431"/>
    <cellStyle name="Currency Thousands" xfId="123"/>
    <cellStyle name="Currency USD" xfId="432"/>
    <cellStyle name="Currency USD (2dp)" xfId="433"/>
    <cellStyle name="Currency_!!!GO" xfId="434"/>
    <cellStyle name="Currency0" xfId="124"/>
    <cellStyle name="CustomStyle1" xfId="125"/>
    <cellStyle name="CustomStyle10" xfId="126"/>
    <cellStyle name="CustomStyle11" xfId="127"/>
    <cellStyle name="CustomStyle12" xfId="128"/>
    <cellStyle name="CustomStyle13" xfId="129"/>
    <cellStyle name="CustomStyle14" xfId="130"/>
    <cellStyle name="CustomStyle15" xfId="131"/>
    <cellStyle name="CustomStyle16" xfId="132"/>
    <cellStyle name="CustomStyle17" xfId="133"/>
    <cellStyle name="CustomStyle18" xfId="134"/>
    <cellStyle name="CustomStyle19" xfId="135"/>
    <cellStyle name="CustomStyle2" xfId="136"/>
    <cellStyle name="CustomStyle20" xfId="137"/>
    <cellStyle name="CustomStyle21" xfId="138"/>
    <cellStyle name="CustomStyle22" xfId="139"/>
    <cellStyle name="CustomStyle23" xfId="140"/>
    <cellStyle name="CustomStyle3" xfId="141"/>
    <cellStyle name="CustomStyle4" xfId="142"/>
    <cellStyle name="CustomStyle5" xfId="143"/>
    <cellStyle name="CustomStyle6" xfId="144"/>
    <cellStyle name="CustomStyle7" xfId="145"/>
    <cellStyle name="CustomStyle8" xfId="146"/>
    <cellStyle name="CustomStyle9" xfId="147"/>
    <cellStyle name="Date" xfId="148"/>
    <cellStyle name="Date (Month)" xfId="435"/>
    <cellStyle name="Date (Year)" xfId="436"/>
    <cellStyle name="Date Short" xfId="149"/>
    <cellStyle name="Date_Analisis de escenarios Area Virtual Movil" xfId="150"/>
    <cellStyle name="Description" xfId="151"/>
    <cellStyle name="Dia" xfId="152"/>
    <cellStyle name="Diseño" xfId="153"/>
    <cellStyle name="Diseño 2" xfId="437"/>
    <cellStyle name="Diseño_04. Compensación TM_TdP Abr08" xfId="438"/>
    <cellStyle name="Encabez1" xfId="154"/>
    <cellStyle name="Encabez2" xfId="155"/>
    <cellStyle name="Énfasis3 2" xfId="439"/>
    <cellStyle name="Enter Currency (0)" xfId="156"/>
    <cellStyle name="Enter Currency (2)" xfId="157"/>
    <cellStyle name="Enter Units (0)" xfId="158"/>
    <cellStyle name="Enter Units (1)" xfId="159"/>
    <cellStyle name="Enter Units (2)" xfId="160"/>
    <cellStyle name="Entered" xfId="440"/>
    <cellStyle name="Entrée" xfId="161"/>
    <cellStyle name="Estilo 1" xfId="162"/>
    <cellStyle name="Estilo 1 2" xfId="441"/>
    <cellStyle name="Estilo 2" xfId="442"/>
    <cellStyle name="Estilo 3" xfId="443"/>
    <cellStyle name="Estilo 4" xfId="444"/>
    <cellStyle name="Euro" xfId="163"/>
    <cellStyle name="Explanatory Text" xfId="164"/>
    <cellStyle name="F2" xfId="165"/>
    <cellStyle name="F3" xfId="166"/>
    <cellStyle name="F4" xfId="167"/>
    <cellStyle name="F5" xfId="168"/>
    <cellStyle name="F6" xfId="169"/>
    <cellStyle name="F7" xfId="170"/>
    <cellStyle name="F8" xfId="171"/>
    <cellStyle name="FAB level" xfId="445"/>
    <cellStyle name="FAB no" xfId="446"/>
    <cellStyle name="FAB price" xfId="447"/>
    <cellStyle name="Fecha" xfId="448"/>
    <cellStyle name="Fecha1 - Estilo1" xfId="449"/>
    <cellStyle name="Fijo" xfId="172"/>
    <cellStyle name="Finan?ní0" xfId="173"/>
    <cellStyle name="Financial_calc" xfId="450"/>
    <cellStyle name="Financiero" xfId="174"/>
    <cellStyle name="Finanční0" xfId="175"/>
    <cellStyle name="Fixed" xfId="176"/>
    <cellStyle name="Footnote" xfId="177"/>
    <cellStyle name="Good" xfId="178"/>
    <cellStyle name="Grey" xfId="179"/>
    <cellStyle name="H0" xfId="451"/>
    <cellStyle name="H1" xfId="452"/>
    <cellStyle name="H2" xfId="453"/>
    <cellStyle name="H3" xfId="454"/>
    <cellStyle name="H4" xfId="180"/>
    <cellStyle name="Header" xfId="181"/>
    <cellStyle name="Header1" xfId="182"/>
    <cellStyle name="Header2" xfId="183"/>
    <cellStyle name="Heading" xfId="455"/>
    <cellStyle name="Heading 1" xfId="184"/>
    <cellStyle name="Heading 2" xfId="185"/>
    <cellStyle name="Heading 3" xfId="186"/>
    <cellStyle name="Heading 4" xfId="187"/>
    <cellStyle name="HEADING1" xfId="456"/>
    <cellStyle name="HEADING2" xfId="457"/>
    <cellStyle name="Hidden" xfId="188"/>
    <cellStyle name="Highlight" xfId="458"/>
    <cellStyle name="Hipervínculo 2" xfId="282"/>
    <cellStyle name="Hipervínculo 3" xfId="459"/>
    <cellStyle name="Hyperlink" xfId="460"/>
    <cellStyle name="Index" xfId="461"/>
    <cellStyle name="Initial Inputs" xfId="462"/>
    <cellStyle name="InLink" xfId="189"/>
    <cellStyle name="Input" xfId="190"/>
    <cellStyle name="Input %" xfId="463"/>
    <cellStyle name="Input [yellow]" xfId="191"/>
    <cellStyle name="Input 0" xfId="464"/>
    <cellStyle name="Input 0,0" xfId="465"/>
    <cellStyle name="Input 2" xfId="466"/>
    <cellStyle name="Input calculation" xfId="467"/>
    <cellStyle name="Input Cells" xfId="192"/>
    <cellStyle name="Input data" xfId="468"/>
    <cellStyle name="Input estimate" xfId="469"/>
    <cellStyle name="Input Link" xfId="470"/>
    <cellStyle name="Input link (different workbook)" xfId="471"/>
    <cellStyle name="Input link_Demand Summary" xfId="472"/>
    <cellStyle name="Input parameter" xfId="473"/>
    <cellStyle name="Input_00 Costos Plataforma de Pago" xfId="193"/>
    <cellStyle name="InputBlueFont" xfId="474"/>
    <cellStyle name="Jun" xfId="194"/>
    <cellStyle name="Komma [0]_RESULTS" xfId="195"/>
    <cellStyle name="Komma_RESULTS" xfId="196"/>
    <cellStyle name="Link" xfId="197"/>
    <cellStyle name="Link Currency (0)" xfId="198"/>
    <cellStyle name="Link Currency (2)" xfId="199"/>
    <cellStyle name="Link Units (0)" xfId="200"/>
    <cellStyle name="Link Units (1)" xfId="201"/>
    <cellStyle name="Link Units (2)" xfId="202"/>
    <cellStyle name="Linked" xfId="475"/>
    <cellStyle name="Linked Cell" xfId="203"/>
    <cellStyle name="Linked Cells" xfId="204"/>
    <cellStyle name="Lock" xfId="205"/>
    <cellStyle name="Lock partiel" xfId="206"/>
    <cellStyle name="Logic_input" xfId="476"/>
    <cellStyle name="Main Title" xfId="477"/>
    <cellStyle name="MARQ" xfId="478"/>
    <cellStyle name="Migliaia (0)" xfId="479"/>
    <cellStyle name="Migliaia_1641SM D" xfId="480"/>
    <cellStyle name="Millares" xfId="207" builtinId="3"/>
    <cellStyle name="Millares [0] 2" xfId="208"/>
    <cellStyle name="Millares [0] 3" xfId="209"/>
    <cellStyle name="Millares 10" xfId="481"/>
    <cellStyle name="Millares 11" xfId="482"/>
    <cellStyle name="Millares 12" xfId="483"/>
    <cellStyle name="Millares 13" xfId="484"/>
    <cellStyle name="Millares 14" xfId="485"/>
    <cellStyle name="Millares 15" xfId="486"/>
    <cellStyle name="Millares 16" xfId="487"/>
    <cellStyle name="Millares 17" xfId="488"/>
    <cellStyle name="Millares 18" xfId="489"/>
    <cellStyle name="Millares 19" xfId="490"/>
    <cellStyle name="Millares 2" xfId="210"/>
    <cellStyle name="Millares 2 2" xfId="211"/>
    <cellStyle name="Millares 2 3" xfId="212"/>
    <cellStyle name="Millares 2 4" xfId="213"/>
    <cellStyle name="Millares 2_Actas_Val_Fin_AM_Octubre_2008" xfId="491"/>
    <cellStyle name="Millares 20" xfId="492"/>
    <cellStyle name="Millares 21" xfId="493"/>
    <cellStyle name="Millares 3" xfId="214"/>
    <cellStyle name="Millares 4" xfId="285"/>
    <cellStyle name="Millares 5" xfId="494"/>
    <cellStyle name="Millares 6" xfId="495"/>
    <cellStyle name="Millares 7" xfId="496"/>
    <cellStyle name="Millares 8" xfId="497"/>
    <cellStyle name="Millares 9" xfId="498"/>
    <cellStyle name="Milliers [0]_!!!GO" xfId="499"/>
    <cellStyle name="Milliers_!!!GO" xfId="500"/>
    <cellStyle name="Millions" xfId="215"/>
    <cellStyle name="Missing" xfId="501"/>
    <cellStyle name="Model" xfId="216"/>
    <cellStyle name="Moeda [0]_CUSTOSGSMinfrasites" xfId="217"/>
    <cellStyle name="Moeda_CUSTOSGSMinfrasites" xfId="218"/>
    <cellStyle name="Moneda 2" xfId="219"/>
    <cellStyle name="Monétaire [0]_!!!GO" xfId="502"/>
    <cellStyle name="Monétaire_!!!GO" xfId="503"/>
    <cellStyle name="Monetario" xfId="220"/>
    <cellStyle name="Monetario0" xfId="504"/>
    <cellStyle name="Month_input" xfId="505"/>
    <cellStyle name="Name" xfId="506"/>
    <cellStyle name="neg0.0" xfId="221"/>
    <cellStyle name="NivelCol_" xfId="507"/>
    <cellStyle name="no dec" xfId="222"/>
    <cellStyle name="No-definido" xfId="508"/>
    <cellStyle name="Normal" xfId="0" builtinId="0"/>
    <cellStyle name="Normal - Style1" xfId="223"/>
    <cellStyle name="Normal 10" xfId="509"/>
    <cellStyle name="Normal 11" xfId="510"/>
    <cellStyle name="Normal 12" xfId="511"/>
    <cellStyle name="Normal 13" xfId="512"/>
    <cellStyle name="Normal 14" xfId="513"/>
    <cellStyle name="Normal 15" xfId="514"/>
    <cellStyle name="Normal 16" xfId="515"/>
    <cellStyle name="Normal 17" xfId="516"/>
    <cellStyle name="Normal 18" xfId="517"/>
    <cellStyle name="Normal 19" xfId="518"/>
    <cellStyle name="Normal 2" xfId="224"/>
    <cellStyle name="Normal 2 2" xfId="519"/>
    <cellStyle name="Normal 2 5" xfId="520"/>
    <cellStyle name="Normal 2_I. T. Fija 1" xfId="521"/>
    <cellStyle name="Normal 20" xfId="522"/>
    <cellStyle name="Normal 21" xfId="523"/>
    <cellStyle name="Normal 22" xfId="524"/>
    <cellStyle name="Normal 23" xfId="525"/>
    <cellStyle name="Normal 24" xfId="632"/>
    <cellStyle name="Normal 26" xfId="633"/>
    <cellStyle name="Normal 3" xfId="225"/>
    <cellStyle name="Normal 4" xfId="226"/>
    <cellStyle name="Normal 5" xfId="283"/>
    <cellStyle name="Normal 6" xfId="286"/>
    <cellStyle name="Normal 7" xfId="526"/>
    <cellStyle name="Normal 8" xfId="527"/>
    <cellStyle name="Normal 9" xfId="528"/>
    <cellStyle name="Normal bold" xfId="529"/>
    <cellStyle name="Normal Font Size" xfId="227"/>
    <cellStyle name="Normal Italics" xfId="530"/>
    <cellStyle name="Normal_Libro12" xfId="228"/>
    <cellStyle name="Normal_SERVICIO MOVIL (3) 2" xfId="288"/>
    <cellStyle name="Normale_1511" xfId="531"/>
    <cellStyle name="Normalny_56.Podstawowe dane o woj.(1)" xfId="229"/>
    <cellStyle name="Not In Use" xfId="532"/>
    <cellStyle name="Note" xfId="230"/>
    <cellStyle name="note3" xfId="533"/>
    <cellStyle name="notes" xfId="534"/>
    <cellStyle name="Number" xfId="231"/>
    <cellStyle name="Number (2dp)" xfId="535"/>
    <cellStyle name="Number_book1" xfId="536"/>
    <cellStyle name="Obsolete" xfId="232"/>
    <cellStyle name="Œ…‹æØ‚è [0.00]_!!!GO" xfId="537"/>
    <cellStyle name="Œ…‹æØ‚è_!!!GO" xfId="538"/>
    <cellStyle name="One-Decimal" xfId="233"/>
    <cellStyle name="Output" xfId="234"/>
    <cellStyle name="Output Amounts" xfId="539"/>
    <cellStyle name="per.style" xfId="235"/>
    <cellStyle name="Percent (0)" xfId="236"/>
    <cellStyle name="Percent [0]" xfId="237"/>
    <cellStyle name="Percent [00]" xfId="238"/>
    <cellStyle name="Percent [2]" xfId="239"/>
    <cellStyle name="Percent_Book1" xfId="540"/>
    <cellStyle name="Percentage" xfId="541"/>
    <cellStyle name="Percentage (2dp)" xfId="542"/>
    <cellStyle name="Percentage_book1" xfId="543"/>
    <cellStyle name="Placeholder" xfId="544"/>
    <cellStyle name="Porcentaje" xfId="240"/>
    <cellStyle name="Porcentual" xfId="631" builtinId="5"/>
    <cellStyle name="Porcentual 10" xfId="545"/>
    <cellStyle name="Porcentual 11" xfId="546"/>
    <cellStyle name="Porcentual 12" xfId="547"/>
    <cellStyle name="Porcentual 13" xfId="634"/>
    <cellStyle name="Porcentual 2" xfId="241"/>
    <cellStyle name="Porcentual 2 2" xfId="548"/>
    <cellStyle name="Porcentual 3" xfId="242"/>
    <cellStyle name="Porcentual 4" xfId="243"/>
    <cellStyle name="Porcentual 5" xfId="284"/>
    <cellStyle name="Porcentual 6" xfId="287"/>
    <cellStyle name="Porcentual 7" xfId="549"/>
    <cellStyle name="Porcentual 8" xfId="550"/>
    <cellStyle name="Porcentual 8 2" xfId="551"/>
    <cellStyle name="Porcentual 8 2 2" xfId="552"/>
    <cellStyle name="Porcentual 8 2 3" xfId="553"/>
    <cellStyle name="Porcentual 8 2 3 2" xfId="554"/>
    <cellStyle name="Porcentual 8 2 3 2 2" xfId="555"/>
    <cellStyle name="Porcentual 8 2 3 2 2 2" xfId="556"/>
    <cellStyle name="Porcentual 9" xfId="557"/>
    <cellStyle name="PrePop Currency (0)" xfId="244"/>
    <cellStyle name="PrePop Currency (2)" xfId="245"/>
    <cellStyle name="PrePop Units (0)" xfId="246"/>
    <cellStyle name="PrePop Units (1)" xfId="247"/>
    <cellStyle name="PrePop Units (2)" xfId="248"/>
    <cellStyle name="Pricing" xfId="249"/>
    <cellStyle name="Product Sub-Headng" xfId="250"/>
    <cellStyle name="PSChar" xfId="251"/>
    <cellStyle name="PSDate" xfId="252"/>
    <cellStyle name="PSDec" xfId="253"/>
    <cellStyle name="PSHeading" xfId="254"/>
    <cellStyle name="PSInt" xfId="255"/>
    <cellStyle name="PSSpacer" xfId="256"/>
    <cellStyle name="Punto" xfId="558"/>
    <cellStyle name="Punto0" xfId="559"/>
    <cellStyle name="Punto0 - Estilo2" xfId="560"/>
    <cellStyle name="Red Heading" xfId="561"/>
    <cellStyle name="Ref Numbers" xfId="257"/>
    <cellStyle name="Reference" xfId="562"/>
    <cellStyle name="Result" xfId="563"/>
    <cellStyle name="RevList" xfId="564"/>
    <cellStyle name="RM" xfId="258"/>
    <cellStyle name="ROF no" xfId="565"/>
    <cellStyle name="ROF price" xfId="566"/>
    <cellStyle name="Row and Column Total" xfId="567"/>
    <cellStyle name="Row Heading" xfId="568"/>
    <cellStyle name="Row Heading (No Wrap)" xfId="569"/>
    <cellStyle name="Row Heading_Demand Summary" xfId="570"/>
    <cellStyle name="Row label" xfId="571"/>
    <cellStyle name="Row label (indent)" xfId="572"/>
    <cellStyle name="Row label_Book1" xfId="573"/>
    <cellStyle name="Row Total" xfId="574"/>
    <cellStyle name="Section" xfId="575"/>
    <cellStyle name="Section name" xfId="576"/>
    <cellStyle name="Section Title" xfId="577"/>
    <cellStyle name="Section_Title" xfId="578"/>
    <cellStyle name="Separador de milhares [0]_Junio 1999" xfId="579"/>
    <cellStyle name="Separador de milhares_Anexo - Target Precios_Proseco_12-04-04" xfId="580"/>
    <cellStyle name="Sheet_description" xfId="581"/>
    <cellStyle name="Small Number" xfId="582"/>
    <cellStyle name="Small Percentage" xfId="583"/>
    <cellStyle name="Small Print" xfId="259"/>
    <cellStyle name="Source" xfId="584"/>
    <cellStyle name="Source Line" xfId="260"/>
    <cellStyle name="Spreadsheet title" xfId="585"/>
    <cellStyle name="Standard_IPISV7" xfId="586"/>
    <cellStyle name="StrategyDependent" xfId="587"/>
    <cellStyle name="Style 1" xfId="261"/>
    <cellStyle name="Sub_title" xfId="588"/>
    <cellStyle name="subhead" xfId="262"/>
    <cellStyle name="Subheading" xfId="589"/>
    <cellStyle name="Sub-Section Title" xfId="590"/>
    <cellStyle name="Subsection_title" xfId="591"/>
    <cellStyle name="Subtitle" xfId="263"/>
    <cellStyle name="Sub-titulo" xfId="592"/>
    <cellStyle name="Sub-titulo 2" xfId="593"/>
    <cellStyle name="Subtotal" xfId="594"/>
    <cellStyle name="Sub-total" xfId="595"/>
    <cellStyle name="Sub-total row" xfId="596"/>
    <cellStyle name="SUPPR" xfId="597"/>
    <cellStyle name="Table finish row" xfId="598"/>
    <cellStyle name="Table Heading" xfId="264"/>
    <cellStyle name="Table shading" xfId="599"/>
    <cellStyle name="Table unfinish row" xfId="600"/>
    <cellStyle name="Table unshading" xfId="601"/>
    <cellStyle name="Table-#" xfId="265"/>
    <cellStyle name="Table_Header" xfId="602"/>
    <cellStyle name="Table-Headings" xfId="266"/>
    <cellStyle name="Table-Titles" xfId="267"/>
    <cellStyle name="taples Plaza" xfId="268"/>
    <cellStyle name="Temp" xfId="603"/>
    <cellStyle name="Text" xfId="604"/>
    <cellStyle name="Text Indent A" xfId="269"/>
    <cellStyle name="Text Indent B" xfId="270"/>
    <cellStyle name="Text Indent C" xfId="271"/>
    <cellStyle name="Text_input" xfId="605"/>
    <cellStyle name="Thousands" xfId="272"/>
    <cellStyle name="Thousands [0]" xfId="273"/>
    <cellStyle name="Title" xfId="274"/>
    <cellStyle name="Title Heading" xfId="606"/>
    <cellStyle name="Title Line" xfId="275"/>
    <cellStyle name="Title_Capex depreciated" xfId="607"/>
    <cellStyle name="Titulo-Seccion" xfId="608"/>
    <cellStyle name="Top Row" xfId="276"/>
    <cellStyle name="Total cell" xfId="609"/>
    <cellStyle name="Total Row" xfId="277"/>
    <cellStyle name="Unhighlight" xfId="610"/>
    <cellStyle name="Unprot" xfId="611"/>
    <cellStyle name="Unprot$" xfId="612"/>
    <cellStyle name="Unprotect" xfId="613"/>
    <cellStyle name="Unsure" xfId="278"/>
    <cellStyle name="Untotal row" xfId="614"/>
    <cellStyle name="Valuta (0)" xfId="615"/>
    <cellStyle name="Valuta [0]_RESULTS" xfId="279"/>
    <cellStyle name="Valuta_1 new STM 16 ring" xfId="616"/>
    <cellStyle name="Warning Text" xfId="280"/>
    <cellStyle name="Worksheet_Title" xfId="617"/>
    <cellStyle name="WP Header" xfId="618"/>
    <cellStyle name="Year" xfId="619"/>
    <cellStyle name="千位[0]_pldt" xfId="620"/>
    <cellStyle name="千位_pldt" xfId="621"/>
    <cellStyle name="千位分隔[0]_1" xfId="622"/>
    <cellStyle name="千位分隔_1" xfId="623"/>
    <cellStyle name="常规_1" xfId="624"/>
    <cellStyle name="桁区切り [0.00]_Calc. C-J" xfId="625"/>
    <cellStyle name="桁区切り_Calc. C-J" xfId="626"/>
    <cellStyle name="標準_1951_0006" xfId="281"/>
    <cellStyle name="货币[0]_1" xfId="627"/>
    <cellStyle name="货币_1" xfId="628"/>
    <cellStyle name="通貨 [0.00]_Calc. C-J" xfId="629"/>
    <cellStyle name="通貨_Calc. C-J" xfId="630"/>
  </cellStyles>
  <dxfs count="3"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b val="0"/>
        <i/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9" defaultPivotStyle="PivotStyleLight16"/>
  <colors>
    <mruColors>
      <color rgb="FFFFFF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Costo por Tarjeta en Función de Tarjetas Producidas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Tarjetas!$C$3</c:f>
              <c:strCache>
                <c:ptCount val="1"/>
                <c:pt idx="0">
                  <c:v>Costo por Tarjeta (US$)</c:v>
                </c:pt>
              </c:strCache>
            </c:strRef>
          </c:tx>
          <c:xVal>
            <c:numRef>
              <c:f>Tarjetas!$B$4:$B$6</c:f>
              <c:numCache>
                <c:formatCode>#,##0.00</c:formatCode>
                <c:ptCount val="3"/>
                <c:pt idx="0">
                  <c:v>10</c:v>
                </c:pt>
                <c:pt idx="1">
                  <c:v>25</c:v>
                </c:pt>
                <c:pt idx="2">
                  <c:v>300</c:v>
                </c:pt>
              </c:numCache>
            </c:numRef>
          </c:xVal>
          <c:yVal>
            <c:numRef>
              <c:f>Tarjetas!$C$4:$C$6</c:f>
              <c:numCache>
                <c:formatCode>0.0000</c:formatCode>
                <c:ptCount val="3"/>
                <c:pt idx="0">
                  <c:v>0.1</c:v>
                </c:pt>
                <c:pt idx="1">
                  <c:v>3.3000000000000002E-2</c:v>
                </c:pt>
                <c:pt idx="2">
                  <c:v>0.01</c:v>
                </c:pt>
              </c:numCache>
            </c:numRef>
          </c:yVal>
        </c:ser>
        <c:ser>
          <c:idx val="1"/>
          <c:order val="1"/>
          <c:tx>
            <c:v>Tendencia</c:v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Tarjetas!$I$4:$I$386</c:f>
              <c:numCache>
                <c:formatCode>0.0</c:formatCode>
                <c:ptCount val="383"/>
                <c:pt idx="0">
                  <c:v>9.9983412070945157</c:v>
                </c:pt>
                <c:pt idx="1">
                  <c:v>10.757507853149242</c:v>
                </c:pt>
                <c:pt idx="2">
                  <c:v>11.516674499203969</c:v>
                </c:pt>
                <c:pt idx="3">
                  <c:v>12.275841145258696</c:v>
                </c:pt>
                <c:pt idx="4">
                  <c:v>13.035007791313422</c:v>
                </c:pt>
                <c:pt idx="5">
                  <c:v>13.794174437368149</c:v>
                </c:pt>
                <c:pt idx="6">
                  <c:v>14.553341083422875</c:v>
                </c:pt>
                <c:pt idx="7">
                  <c:v>15.312507729477602</c:v>
                </c:pt>
                <c:pt idx="8">
                  <c:v>16.071674375532329</c:v>
                </c:pt>
                <c:pt idx="9">
                  <c:v>16.830841021587055</c:v>
                </c:pt>
                <c:pt idx="10">
                  <c:v>17.590007667641782</c:v>
                </c:pt>
                <c:pt idx="11">
                  <c:v>18.349174313696508</c:v>
                </c:pt>
                <c:pt idx="12">
                  <c:v>19.108340959751235</c:v>
                </c:pt>
                <c:pt idx="13">
                  <c:v>19.867507605805962</c:v>
                </c:pt>
                <c:pt idx="14">
                  <c:v>20.626674251860688</c:v>
                </c:pt>
                <c:pt idx="15">
                  <c:v>21.385840897915415</c:v>
                </c:pt>
                <c:pt idx="16">
                  <c:v>22.145007543970141</c:v>
                </c:pt>
                <c:pt idx="17">
                  <c:v>22.904174190024868</c:v>
                </c:pt>
                <c:pt idx="18">
                  <c:v>23.663340836079595</c:v>
                </c:pt>
                <c:pt idx="19">
                  <c:v>24.422507482134321</c:v>
                </c:pt>
                <c:pt idx="20">
                  <c:v>25.181674128189048</c:v>
                </c:pt>
                <c:pt idx="21">
                  <c:v>25.940840774243775</c:v>
                </c:pt>
                <c:pt idx="22">
                  <c:v>26.700007420298501</c:v>
                </c:pt>
                <c:pt idx="23">
                  <c:v>27.459174066353228</c:v>
                </c:pt>
                <c:pt idx="24">
                  <c:v>28.218340712407954</c:v>
                </c:pt>
                <c:pt idx="25">
                  <c:v>28.977507358462681</c:v>
                </c:pt>
                <c:pt idx="26">
                  <c:v>29.736674004517408</c:v>
                </c:pt>
                <c:pt idx="27">
                  <c:v>30.495840650572134</c:v>
                </c:pt>
                <c:pt idx="28">
                  <c:v>31.255007296626861</c:v>
                </c:pt>
                <c:pt idx="29">
                  <c:v>32.014173942681587</c:v>
                </c:pt>
                <c:pt idx="30">
                  <c:v>32.773340588736311</c:v>
                </c:pt>
                <c:pt idx="31">
                  <c:v>33.532507234791034</c:v>
                </c:pt>
                <c:pt idx="32">
                  <c:v>34.291673880845757</c:v>
                </c:pt>
                <c:pt idx="33">
                  <c:v>35.05084052690048</c:v>
                </c:pt>
                <c:pt idx="34">
                  <c:v>35.810007172955203</c:v>
                </c:pt>
                <c:pt idx="35">
                  <c:v>36.569173819009926</c:v>
                </c:pt>
                <c:pt idx="36">
                  <c:v>37.328340465064649</c:v>
                </c:pt>
                <c:pt idx="37">
                  <c:v>38.087507111119372</c:v>
                </c:pt>
                <c:pt idx="38">
                  <c:v>38.846673757174095</c:v>
                </c:pt>
                <c:pt idx="39">
                  <c:v>39.605840403228818</c:v>
                </c:pt>
                <c:pt idx="40">
                  <c:v>40.365007049283541</c:v>
                </c:pt>
                <c:pt idx="41">
                  <c:v>41.124173695338264</c:v>
                </c:pt>
                <c:pt idx="42">
                  <c:v>41.883340341392987</c:v>
                </c:pt>
                <c:pt idx="43">
                  <c:v>42.64250698744771</c:v>
                </c:pt>
                <c:pt idx="44">
                  <c:v>43.401673633502433</c:v>
                </c:pt>
                <c:pt idx="45">
                  <c:v>44.160840279557156</c:v>
                </c:pt>
                <c:pt idx="46">
                  <c:v>44.920006925611879</c:v>
                </c:pt>
                <c:pt idx="47">
                  <c:v>45.679173571666603</c:v>
                </c:pt>
                <c:pt idx="48">
                  <c:v>46.438340217721326</c:v>
                </c:pt>
                <c:pt idx="49">
                  <c:v>47.197506863776049</c:v>
                </c:pt>
                <c:pt idx="50">
                  <c:v>47.956673509830772</c:v>
                </c:pt>
                <c:pt idx="51">
                  <c:v>48.715840155885495</c:v>
                </c:pt>
                <c:pt idx="52">
                  <c:v>49.475006801940218</c:v>
                </c:pt>
                <c:pt idx="53">
                  <c:v>50.234173447994941</c:v>
                </c:pt>
                <c:pt idx="54">
                  <c:v>50.993340094049664</c:v>
                </c:pt>
                <c:pt idx="55">
                  <c:v>51.752506740104387</c:v>
                </c:pt>
                <c:pt idx="56">
                  <c:v>52.51167338615911</c:v>
                </c:pt>
                <c:pt idx="57">
                  <c:v>53.270840032213833</c:v>
                </c:pt>
                <c:pt idx="58">
                  <c:v>54.030006678268556</c:v>
                </c:pt>
                <c:pt idx="59">
                  <c:v>54.789173324323279</c:v>
                </c:pt>
                <c:pt idx="60">
                  <c:v>55.548339970378002</c:v>
                </c:pt>
                <c:pt idx="61">
                  <c:v>56.307506616432725</c:v>
                </c:pt>
                <c:pt idx="62">
                  <c:v>57.066673262487448</c:v>
                </c:pt>
                <c:pt idx="63">
                  <c:v>57.825839908542171</c:v>
                </c:pt>
                <c:pt idx="64">
                  <c:v>58.585006554596895</c:v>
                </c:pt>
                <c:pt idx="65">
                  <c:v>59.344173200651618</c:v>
                </c:pt>
                <c:pt idx="66">
                  <c:v>60.103339846706341</c:v>
                </c:pt>
                <c:pt idx="67">
                  <c:v>60.862506492761064</c:v>
                </c:pt>
                <c:pt idx="68">
                  <c:v>61.621673138815787</c:v>
                </c:pt>
                <c:pt idx="69">
                  <c:v>62.38083978487051</c:v>
                </c:pt>
                <c:pt idx="70">
                  <c:v>63.140006430925233</c:v>
                </c:pt>
                <c:pt idx="71">
                  <c:v>63.899173076979956</c:v>
                </c:pt>
                <c:pt idx="72">
                  <c:v>64.658339723034686</c:v>
                </c:pt>
                <c:pt idx="73">
                  <c:v>65.417506369089409</c:v>
                </c:pt>
                <c:pt idx="74">
                  <c:v>66.176673015144132</c:v>
                </c:pt>
                <c:pt idx="75">
                  <c:v>66.935839661198855</c:v>
                </c:pt>
                <c:pt idx="76">
                  <c:v>67.695006307253578</c:v>
                </c:pt>
                <c:pt idx="77">
                  <c:v>68.454172953308301</c:v>
                </c:pt>
                <c:pt idx="78">
                  <c:v>69.213339599363024</c:v>
                </c:pt>
                <c:pt idx="79">
                  <c:v>69.972506245417748</c:v>
                </c:pt>
                <c:pt idx="80">
                  <c:v>70.731672891472471</c:v>
                </c:pt>
                <c:pt idx="81">
                  <c:v>71.490839537527194</c:v>
                </c:pt>
                <c:pt idx="82">
                  <c:v>72.250006183581917</c:v>
                </c:pt>
                <c:pt idx="83">
                  <c:v>73.00917282963664</c:v>
                </c:pt>
                <c:pt idx="84">
                  <c:v>73.768339475691363</c:v>
                </c:pt>
                <c:pt idx="85">
                  <c:v>74.527506121746086</c:v>
                </c:pt>
                <c:pt idx="86">
                  <c:v>75.286672767800809</c:v>
                </c:pt>
                <c:pt idx="87">
                  <c:v>76.045839413855532</c:v>
                </c:pt>
                <c:pt idx="88">
                  <c:v>76.805006059910255</c:v>
                </c:pt>
                <c:pt idx="89">
                  <c:v>77.564172705964978</c:v>
                </c:pt>
                <c:pt idx="90">
                  <c:v>78.323339352019701</c:v>
                </c:pt>
                <c:pt idx="91">
                  <c:v>79.082505998074424</c:v>
                </c:pt>
                <c:pt idx="92">
                  <c:v>79.841672644129147</c:v>
                </c:pt>
                <c:pt idx="93">
                  <c:v>80.60083929018387</c:v>
                </c:pt>
                <c:pt idx="94">
                  <c:v>81.360005936238593</c:v>
                </c:pt>
                <c:pt idx="95">
                  <c:v>82.119172582293317</c:v>
                </c:pt>
                <c:pt idx="96">
                  <c:v>82.87833922834804</c:v>
                </c:pt>
                <c:pt idx="97">
                  <c:v>83.637505874402763</c:v>
                </c:pt>
                <c:pt idx="98">
                  <c:v>84.396672520457486</c:v>
                </c:pt>
                <c:pt idx="99">
                  <c:v>85.155839166512209</c:v>
                </c:pt>
                <c:pt idx="100">
                  <c:v>85.915005812566932</c:v>
                </c:pt>
                <c:pt idx="101">
                  <c:v>86.674172458621655</c:v>
                </c:pt>
                <c:pt idx="102">
                  <c:v>87.433339104676378</c:v>
                </c:pt>
                <c:pt idx="103">
                  <c:v>88.192505750731101</c:v>
                </c:pt>
                <c:pt idx="104">
                  <c:v>88.951672396785824</c:v>
                </c:pt>
                <c:pt idx="105">
                  <c:v>89.710839042840547</c:v>
                </c:pt>
                <c:pt idx="106">
                  <c:v>90.47000568889527</c:v>
                </c:pt>
                <c:pt idx="107">
                  <c:v>91.229172334949993</c:v>
                </c:pt>
                <c:pt idx="108">
                  <c:v>91.988338981004716</c:v>
                </c:pt>
                <c:pt idx="109">
                  <c:v>92.747505627059439</c:v>
                </c:pt>
                <c:pt idx="110">
                  <c:v>93.506672273114162</c:v>
                </c:pt>
                <c:pt idx="111">
                  <c:v>94.265838919168885</c:v>
                </c:pt>
                <c:pt idx="112">
                  <c:v>95.025005565223609</c:v>
                </c:pt>
                <c:pt idx="113">
                  <c:v>95.784172211278332</c:v>
                </c:pt>
                <c:pt idx="114">
                  <c:v>96.543338857333055</c:v>
                </c:pt>
                <c:pt idx="115">
                  <c:v>97.302505503387778</c:v>
                </c:pt>
                <c:pt idx="116">
                  <c:v>98.061672149442501</c:v>
                </c:pt>
                <c:pt idx="117">
                  <c:v>98.820838795497224</c:v>
                </c:pt>
                <c:pt idx="118">
                  <c:v>99.580005441551947</c:v>
                </c:pt>
                <c:pt idx="119">
                  <c:v>100.33917208760667</c:v>
                </c:pt>
                <c:pt idx="120">
                  <c:v>101.09833873366139</c:v>
                </c:pt>
                <c:pt idx="121">
                  <c:v>101.85750537971612</c:v>
                </c:pt>
                <c:pt idx="122">
                  <c:v>102.61667202577084</c:v>
                </c:pt>
                <c:pt idx="123">
                  <c:v>103.37583867182556</c:v>
                </c:pt>
                <c:pt idx="124">
                  <c:v>104.13500531788029</c:v>
                </c:pt>
                <c:pt idx="125">
                  <c:v>104.89417196393501</c:v>
                </c:pt>
                <c:pt idx="126">
                  <c:v>105.65333860998973</c:v>
                </c:pt>
                <c:pt idx="127">
                  <c:v>106.41250525604445</c:v>
                </c:pt>
                <c:pt idx="128">
                  <c:v>107.17167190209918</c:v>
                </c:pt>
                <c:pt idx="129">
                  <c:v>107.9308385481539</c:v>
                </c:pt>
                <c:pt idx="130">
                  <c:v>108.69000519420862</c:v>
                </c:pt>
                <c:pt idx="131">
                  <c:v>109.44917184026335</c:v>
                </c:pt>
                <c:pt idx="132">
                  <c:v>110.20833848631807</c:v>
                </c:pt>
                <c:pt idx="133">
                  <c:v>110.96750513237279</c:v>
                </c:pt>
                <c:pt idx="134">
                  <c:v>111.72667177842752</c:v>
                </c:pt>
                <c:pt idx="135">
                  <c:v>112.48583842448224</c:v>
                </c:pt>
                <c:pt idx="136">
                  <c:v>113.24500507053696</c:v>
                </c:pt>
                <c:pt idx="137">
                  <c:v>114.00417171659169</c:v>
                </c:pt>
                <c:pt idx="138">
                  <c:v>114.76333836264641</c:v>
                </c:pt>
                <c:pt idx="139">
                  <c:v>115.52250500870113</c:v>
                </c:pt>
                <c:pt idx="140">
                  <c:v>116.28167165475585</c:v>
                </c:pt>
                <c:pt idx="141">
                  <c:v>117.04083830081058</c:v>
                </c:pt>
                <c:pt idx="142">
                  <c:v>117.8000049468653</c:v>
                </c:pt>
                <c:pt idx="143">
                  <c:v>118.55917159292002</c:v>
                </c:pt>
                <c:pt idx="144">
                  <c:v>119.31833823897475</c:v>
                </c:pt>
                <c:pt idx="145">
                  <c:v>120.07750488502947</c:v>
                </c:pt>
                <c:pt idx="146">
                  <c:v>120.83667153108419</c:v>
                </c:pt>
                <c:pt idx="147">
                  <c:v>121.59583817713892</c:v>
                </c:pt>
                <c:pt idx="148">
                  <c:v>122.35500482319364</c:v>
                </c:pt>
                <c:pt idx="149">
                  <c:v>123.11417146924836</c:v>
                </c:pt>
                <c:pt idx="150">
                  <c:v>123.87333811530308</c:v>
                </c:pt>
                <c:pt idx="151">
                  <c:v>124.63250476135781</c:v>
                </c:pt>
                <c:pt idx="152">
                  <c:v>125.39167140741253</c:v>
                </c:pt>
                <c:pt idx="153">
                  <c:v>126.15083805346725</c:v>
                </c:pt>
                <c:pt idx="154">
                  <c:v>126.91000469952198</c:v>
                </c:pt>
                <c:pt idx="155">
                  <c:v>127.6691713455767</c:v>
                </c:pt>
                <c:pt idx="156">
                  <c:v>128.42833799163142</c:v>
                </c:pt>
                <c:pt idx="157">
                  <c:v>129.18750463768615</c:v>
                </c:pt>
                <c:pt idx="158">
                  <c:v>129.94667128374087</c:v>
                </c:pt>
                <c:pt idx="159">
                  <c:v>130.70583792979559</c:v>
                </c:pt>
                <c:pt idx="160">
                  <c:v>131.46500457585032</c:v>
                </c:pt>
                <c:pt idx="161">
                  <c:v>132.22417122190504</c:v>
                </c:pt>
                <c:pt idx="162">
                  <c:v>132.98333786795976</c:v>
                </c:pt>
                <c:pt idx="163">
                  <c:v>133.74250451401448</c:v>
                </c:pt>
                <c:pt idx="164">
                  <c:v>134.50167116006921</c:v>
                </c:pt>
                <c:pt idx="165">
                  <c:v>135.26083780612393</c:v>
                </c:pt>
                <c:pt idx="166">
                  <c:v>136.02000445217865</c:v>
                </c:pt>
                <c:pt idx="167">
                  <c:v>136.77917109823338</c:v>
                </c:pt>
                <c:pt idx="168">
                  <c:v>137.5383377442881</c:v>
                </c:pt>
                <c:pt idx="169">
                  <c:v>138.29750439034282</c:v>
                </c:pt>
                <c:pt idx="170">
                  <c:v>139.05667103639755</c:v>
                </c:pt>
                <c:pt idx="171">
                  <c:v>139.81583768245227</c:v>
                </c:pt>
                <c:pt idx="172">
                  <c:v>140.57500432850699</c:v>
                </c:pt>
                <c:pt idx="173">
                  <c:v>141.33417097456172</c:v>
                </c:pt>
                <c:pt idx="174">
                  <c:v>142.09333762061644</c:v>
                </c:pt>
                <c:pt idx="175">
                  <c:v>142.85250426667116</c:v>
                </c:pt>
                <c:pt idx="176">
                  <c:v>143.61167091272588</c:v>
                </c:pt>
                <c:pt idx="177">
                  <c:v>144.37083755878061</c:v>
                </c:pt>
                <c:pt idx="178">
                  <c:v>145.13000420483533</c:v>
                </c:pt>
                <c:pt idx="179">
                  <c:v>145.88917085089005</c:v>
                </c:pt>
                <c:pt idx="180">
                  <c:v>146.64833749694478</c:v>
                </c:pt>
                <c:pt idx="181">
                  <c:v>147.4075041429995</c:v>
                </c:pt>
                <c:pt idx="182">
                  <c:v>148.16667078905422</c:v>
                </c:pt>
                <c:pt idx="183">
                  <c:v>148.92583743510895</c:v>
                </c:pt>
                <c:pt idx="184">
                  <c:v>149.68500408116367</c:v>
                </c:pt>
                <c:pt idx="185">
                  <c:v>150.44417072721839</c:v>
                </c:pt>
                <c:pt idx="186">
                  <c:v>151.20333737327311</c:v>
                </c:pt>
                <c:pt idx="187">
                  <c:v>151.96250401932784</c:v>
                </c:pt>
                <c:pt idx="188">
                  <c:v>152.72167066538256</c:v>
                </c:pt>
                <c:pt idx="189">
                  <c:v>153.48083731143728</c:v>
                </c:pt>
                <c:pt idx="190">
                  <c:v>154.24000395749201</c:v>
                </c:pt>
                <c:pt idx="191">
                  <c:v>154.99917060354673</c:v>
                </c:pt>
                <c:pt idx="192">
                  <c:v>155.75833724960145</c:v>
                </c:pt>
                <c:pt idx="193">
                  <c:v>156.51750389565618</c:v>
                </c:pt>
                <c:pt idx="194">
                  <c:v>157.2766705417109</c:v>
                </c:pt>
                <c:pt idx="195">
                  <c:v>158.03583718776562</c:v>
                </c:pt>
                <c:pt idx="196">
                  <c:v>158.79500383382035</c:v>
                </c:pt>
                <c:pt idx="197">
                  <c:v>159.55417047987507</c:v>
                </c:pt>
                <c:pt idx="198">
                  <c:v>160.31333712592979</c:v>
                </c:pt>
                <c:pt idx="199">
                  <c:v>161.07250377198451</c:v>
                </c:pt>
                <c:pt idx="200">
                  <c:v>161.83167041803924</c:v>
                </c:pt>
                <c:pt idx="201">
                  <c:v>162.59083706409396</c:v>
                </c:pt>
                <c:pt idx="202">
                  <c:v>163.35000371014868</c:v>
                </c:pt>
                <c:pt idx="203">
                  <c:v>164.10917035620341</c:v>
                </c:pt>
                <c:pt idx="204">
                  <c:v>164.86833700225813</c:v>
                </c:pt>
                <c:pt idx="205">
                  <c:v>165.62750364831285</c:v>
                </c:pt>
                <c:pt idx="206">
                  <c:v>166.38667029436758</c:v>
                </c:pt>
                <c:pt idx="207">
                  <c:v>167.1458369404223</c:v>
                </c:pt>
                <c:pt idx="208">
                  <c:v>167.90500358647702</c:v>
                </c:pt>
                <c:pt idx="209">
                  <c:v>168.66417023253175</c:v>
                </c:pt>
                <c:pt idx="210">
                  <c:v>169.42333687858647</c:v>
                </c:pt>
                <c:pt idx="211">
                  <c:v>170.18250352464119</c:v>
                </c:pt>
                <c:pt idx="212">
                  <c:v>170.94167017069591</c:v>
                </c:pt>
                <c:pt idx="213">
                  <c:v>171.70083681675064</c:v>
                </c:pt>
                <c:pt idx="214">
                  <c:v>172.46000346280536</c:v>
                </c:pt>
                <c:pt idx="215">
                  <c:v>173.21917010886008</c:v>
                </c:pt>
                <c:pt idx="216">
                  <c:v>173.97833675491481</c:v>
                </c:pt>
                <c:pt idx="217">
                  <c:v>174.73750340096953</c:v>
                </c:pt>
                <c:pt idx="218">
                  <c:v>175.49667004702425</c:v>
                </c:pt>
                <c:pt idx="219">
                  <c:v>176.25583669307898</c:v>
                </c:pt>
                <c:pt idx="220">
                  <c:v>177.0150033391337</c:v>
                </c:pt>
                <c:pt idx="221">
                  <c:v>177.77416998518842</c:v>
                </c:pt>
                <c:pt idx="222">
                  <c:v>178.53333663124315</c:v>
                </c:pt>
                <c:pt idx="223">
                  <c:v>179.29250327729787</c:v>
                </c:pt>
                <c:pt idx="224">
                  <c:v>180.05166992335259</c:v>
                </c:pt>
                <c:pt idx="225">
                  <c:v>180.81083656940731</c:v>
                </c:pt>
                <c:pt idx="226">
                  <c:v>181.57000321546204</c:v>
                </c:pt>
                <c:pt idx="227">
                  <c:v>182.32916986151676</c:v>
                </c:pt>
                <c:pt idx="228">
                  <c:v>183.08833650757148</c:v>
                </c:pt>
                <c:pt idx="229">
                  <c:v>183.84750315362621</c:v>
                </c:pt>
                <c:pt idx="230">
                  <c:v>184.60666979968093</c:v>
                </c:pt>
                <c:pt idx="231">
                  <c:v>185.36583644573565</c:v>
                </c:pt>
                <c:pt idx="232">
                  <c:v>186.12500309179038</c:v>
                </c:pt>
                <c:pt idx="233">
                  <c:v>186.8841697378451</c:v>
                </c:pt>
                <c:pt idx="234">
                  <c:v>187.64333638389982</c:v>
                </c:pt>
                <c:pt idx="235">
                  <c:v>188.40250302995454</c:v>
                </c:pt>
                <c:pt idx="236">
                  <c:v>189.16166967600927</c:v>
                </c:pt>
                <c:pt idx="237">
                  <c:v>189.92083632206399</c:v>
                </c:pt>
                <c:pt idx="238">
                  <c:v>190.68000296811871</c:v>
                </c:pt>
                <c:pt idx="239">
                  <c:v>191.43916961417344</c:v>
                </c:pt>
                <c:pt idx="240">
                  <c:v>192.19833626022816</c:v>
                </c:pt>
                <c:pt idx="241">
                  <c:v>192.95750290628288</c:v>
                </c:pt>
                <c:pt idx="242">
                  <c:v>193.71666955233761</c:v>
                </c:pt>
                <c:pt idx="243">
                  <c:v>194.47583619839233</c:v>
                </c:pt>
                <c:pt idx="244">
                  <c:v>195.23500284444705</c:v>
                </c:pt>
                <c:pt idx="245">
                  <c:v>195.99416949050178</c:v>
                </c:pt>
                <c:pt idx="246">
                  <c:v>196.7533361365565</c:v>
                </c:pt>
                <c:pt idx="247">
                  <c:v>197.51250278261122</c:v>
                </c:pt>
                <c:pt idx="248">
                  <c:v>198.27166942866594</c:v>
                </c:pt>
                <c:pt idx="249">
                  <c:v>199.03083607472067</c:v>
                </c:pt>
                <c:pt idx="250">
                  <c:v>199.79000272077539</c:v>
                </c:pt>
                <c:pt idx="251">
                  <c:v>200.54916936683011</c:v>
                </c:pt>
                <c:pt idx="252">
                  <c:v>201.30833601288484</c:v>
                </c:pt>
                <c:pt idx="253">
                  <c:v>202.06750265893956</c:v>
                </c:pt>
                <c:pt idx="254">
                  <c:v>202.82666930499428</c:v>
                </c:pt>
                <c:pt idx="255">
                  <c:v>203.58583595104901</c:v>
                </c:pt>
                <c:pt idx="256">
                  <c:v>204.34500259710373</c:v>
                </c:pt>
                <c:pt idx="257">
                  <c:v>205.10416924315845</c:v>
                </c:pt>
                <c:pt idx="258">
                  <c:v>205.86333588921318</c:v>
                </c:pt>
                <c:pt idx="259">
                  <c:v>206.6225025352679</c:v>
                </c:pt>
                <c:pt idx="260">
                  <c:v>207.38166918132262</c:v>
                </c:pt>
                <c:pt idx="261">
                  <c:v>208.14083582737734</c:v>
                </c:pt>
                <c:pt idx="262">
                  <c:v>208.90000247343207</c:v>
                </c:pt>
                <c:pt idx="263">
                  <c:v>209.65916911948679</c:v>
                </c:pt>
                <c:pt idx="264">
                  <c:v>210.41833576554151</c:v>
                </c:pt>
                <c:pt idx="265">
                  <c:v>211.17750241159624</c:v>
                </c:pt>
                <c:pt idx="266">
                  <c:v>211.93666905765096</c:v>
                </c:pt>
                <c:pt idx="267">
                  <c:v>212.69583570370568</c:v>
                </c:pt>
                <c:pt idx="268">
                  <c:v>213.45500234976041</c:v>
                </c:pt>
                <c:pt idx="269">
                  <c:v>214.21416899581513</c:v>
                </c:pt>
                <c:pt idx="270">
                  <c:v>214.97333564186985</c:v>
                </c:pt>
                <c:pt idx="271">
                  <c:v>215.73250228792458</c:v>
                </c:pt>
                <c:pt idx="272">
                  <c:v>216.4916689339793</c:v>
                </c:pt>
                <c:pt idx="273">
                  <c:v>217.25083558003402</c:v>
                </c:pt>
                <c:pt idx="274">
                  <c:v>218.01000222608874</c:v>
                </c:pt>
                <c:pt idx="275">
                  <c:v>218.76916887214347</c:v>
                </c:pt>
                <c:pt idx="276">
                  <c:v>219.52833551819819</c:v>
                </c:pt>
                <c:pt idx="277">
                  <c:v>220.28750216425291</c:v>
                </c:pt>
                <c:pt idx="278">
                  <c:v>221.04666881030764</c:v>
                </c:pt>
                <c:pt idx="279">
                  <c:v>221.80583545636236</c:v>
                </c:pt>
                <c:pt idx="280">
                  <c:v>222.56500210241708</c:v>
                </c:pt>
                <c:pt idx="281">
                  <c:v>223.32416874847181</c:v>
                </c:pt>
                <c:pt idx="282">
                  <c:v>224.08333539452653</c:v>
                </c:pt>
                <c:pt idx="283">
                  <c:v>224.84250204058125</c:v>
                </c:pt>
                <c:pt idx="284">
                  <c:v>225.60166868663597</c:v>
                </c:pt>
                <c:pt idx="285">
                  <c:v>226.3608353326907</c:v>
                </c:pt>
                <c:pt idx="286">
                  <c:v>227.12000197874542</c:v>
                </c:pt>
                <c:pt idx="287">
                  <c:v>227.87916862480014</c:v>
                </c:pt>
                <c:pt idx="288">
                  <c:v>228.63833527085487</c:v>
                </c:pt>
                <c:pt idx="289">
                  <c:v>229.39750191690959</c:v>
                </c:pt>
                <c:pt idx="290">
                  <c:v>230.15666856296431</c:v>
                </c:pt>
                <c:pt idx="291">
                  <c:v>230.91583520901904</c:v>
                </c:pt>
                <c:pt idx="292">
                  <c:v>231.67500185507376</c:v>
                </c:pt>
                <c:pt idx="293">
                  <c:v>232.43416850112848</c:v>
                </c:pt>
                <c:pt idx="294">
                  <c:v>233.19333514718321</c:v>
                </c:pt>
                <c:pt idx="295">
                  <c:v>233.95250179323793</c:v>
                </c:pt>
                <c:pt idx="296">
                  <c:v>234.71166843929265</c:v>
                </c:pt>
                <c:pt idx="297">
                  <c:v>235.47083508534737</c:v>
                </c:pt>
                <c:pt idx="298">
                  <c:v>236.2300017314021</c:v>
                </c:pt>
                <c:pt idx="299">
                  <c:v>236.98916837745682</c:v>
                </c:pt>
                <c:pt idx="300">
                  <c:v>237.74833502351154</c:v>
                </c:pt>
                <c:pt idx="301">
                  <c:v>238.50750166956627</c:v>
                </c:pt>
                <c:pt idx="302">
                  <c:v>239.26666831562099</c:v>
                </c:pt>
                <c:pt idx="303">
                  <c:v>240.02583496167571</c:v>
                </c:pt>
                <c:pt idx="304">
                  <c:v>240.78500160773044</c:v>
                </c:pt>
                <c:pt idx="305">
                  <c:v>241.54416825378516</c:v>
                </c:pt>
                <c:pt idx="306">
                  <c:v>242.30333489983988</c:v>
                </c:pt>
                <c:pt idx="307">
                  <c:v>243.06250154589461</c:v>
                </c:pt>
                <c:pt idx="308">
                  <c:v>243.82166819194933</c:v>
                </c:pt>
                <c:pt idx="309">
                  <c:v>244.58083483800405</c:v>
                </c:pt>
                <c:pt idx="310">
                  <c:v>245.34000148405877</c:v>
                </c:pt>
                <c:pt idx="311">
                  <c:v>246.0991681301135</c:v>
                </c:pt>
                <c:pt idx="312">
                  <c:v>246.85833477616822</c:v>
                </c:pt>
                <c:pt idx="313">
                  <c:v>247.61750142222294</c:v>
                </c:pt>
                <c:pt idx="314">
                  <c:v>248.37666806827767</c:v>
                </c:pt>
                <c:pt idx="315">
                  <c:v>249.13583471433239</c:v>
                </c:pt>
                <c:pt idx="316">
                  <c:v>249.89500136038711</c:v>
                </c:pt>
                <c:pt idx="317">
                  <c:v>250.65416800644184</c:v>
                </c:pt>
                <c:pt idx="318">
                  <c:v>251.41333465249656</c:v>
                </c:pt>
                <c:pt idx="319">
                  <c:v>252.17250129855128</c:v>
                </c:pt>
                <c:pt idx="320">
                  <c:v>252.931667944606</c:v>
                </c:pt>
                <c:pt idx="321">
                  <c:v>253.69083459066073</c:v>
                </c:pt>
                <c:pt idx="322">
                  <c:v>254.45000123671545</c:v>
                </c:pt>
                <c:pt idx="323">
                  <c:v>255.20916788277017</c:v>
                </c:pt>
                <c:pt idx="324">
                  <c:v>255.9683345288249</c:v>
                </c:pt>
                <c:pt idx="325">
                  <c:v>256.72750117487965</c:v>
                </c:pt>
                <c:pt idx="326">
                  <c:v>257.48666782093437</c:v>
                </c:pt>
                <c:pt idx="327">
                  <c:v>258.24583446698909</c:v>
                </c:pt>
                <c:pt idx="328">
                  <c:v>259.00500111304382</c:v>
                </c:pt>
                <c:pt idx="329">
                  <c:v>259.76416775909854</c:v>
                </c:pt>
                <c:pt idx="330">
                  <c:v>260.52333440515326</c:v>
                </c:pt>
                <c:pt idx="331">
                  <c:v>261.28250105120799</c:v>
                </c:pt>
                <c:pt idx="332">
                  <c:v>262.04166769726271</c:v>
                </c:pt>
                <c:pt idx="333">
                  <c:v>262.80083434331743</c:v>
                </c:pt>
                <c:pt idx="334">
                  <c:v>263.56000098937216</c:v>
                </c:pt>
                <c:pt idx="335">
                  <c:v>264.31916763542688</c:v>
                </c:pt>
                <c:pt idx="336">
                  <c:v>265.0783342814816</c:v>
                </c:pt>
                <c:pt idx="337">
                  <c:v>265.83750092753633</c:v>
                </c:pt>
                <c:pt idx="338">
                  <c:v>266.59666757359105</c:v>
                </c:pt>
                <c:pt idx="339">
                  <c:v>267.35583421964577</c:v>
                </c:pt>
                <c:pt idx="340">
                  <c:v>268.11500086570049</c:v>
                </c:pt>
                <c:pt idx="341">
                  <c:v>268.87416751175522</c:v>
                </c:pt>
                <c:pt idx="342">
                  <c:v>269.63333415780994</c:v>
                </c:pt>
                <c:pt idx="343">
                  <c:v>270.39250080386466</c:v>
                </c:pt>
                <c:pt idx="344">
                  <c:v>271.15166744991939</c:v>
                </c:pt>
                <c:pt idx="345">
                  <c:v>271.91083409597411</c:v>
                </c:pt>
                <c:pt idx="346">
                  <c:v>272.67000074202883</c:v>
                </c:pt>
                <c:pt idx="347">
                  <c:v>273.42916738808356</c:v>
                </c:pt>
                <c:pt idx="348">
                  <c:v>274.18833403413828</c:v>
                </c:pt>
                <c:pt idx="349">
                  <c:v>274.947500680193</c:v>
                </c:pt>
                <c:pt idx="350">
                  <c:v>275.70666732624773</c:v>
                </c:pt>
                <c:pt idx="351">
                  <c:v>276.46583397230245</c:v>
                </c:pt>
                <c:pt idx="352">
                  <c:v>277.22500061835717</c:v>
                </c:pt>
                <c:pt idx="353">
                  <c:v>277.98416726441189</c:v>
                </c:pt>
                <c:pt idx="354">
                  <c:v>278.74333391046662</c:v>
                </c:pt>
                <c:pt idx="355">
                  <c:v>279.50250055652134</c:v>
                </c:pt>
                <c:pt idx="356">
                  <c:v>280.26166720257606</c:v>
                </c:pt>
                <c:pt idx="357">
                  <c:v>281.02083384863079</c:v>
                </c:pt>
                <c:pt idx="358">
                  <c:v>281.78000049468551</c:v>
                </c:pt>
                <c:pt idx="359">
                  <c:v>282.53916714074023</c:v>
                </c:pt>
                <c:pt idx="360">
                  <c:v>283.29833378679496</c:v>
                </c:pt>
                <c:pt idx="361">
                  <c:v>284.05750043284968</c:v>
                </c:pt>
                <c:pt idx="362">
                  <c:v>284.8166670789044</c:v>
                </c:pt>
                <c:pt idx="363">
                  <c:v>285.57583372495912</c:v>
                </c:pt>
                <c:pt idx="364">
                  <c:v>286.33500037101385</c:v>
                </c:pt>
                <c:pt idx="365">
                  <c:v>287.09416701706857</c:v>
                </c:pt>
                <c:pt idx="366">
                  <c:v>287.85333366312329</c:v>
                </c:pt>
                <c:pt idx="367">
                  <c:v>288.61250030917802</c:v>
                </c:pt>
                <c:pt idx="368">
                  <c:v>289.37166695523274</c:v>
                </c:pt>
                <c:pt idx="369">
                  <c:v>290.13083360128746</c:v>
                </c:pt>
                <c:pt idx="370">
                  <c:v>290.89000024734219</c:v>
                </c:pt>
                <c:pt idx="371">
                  <c:v>291.64916689339691</c:v>
                </c:pt>
                <c:pt idx="372">
                  <c:v>292.40833353945163</c:v>
                </c:pt>
                <c:pt idx="373">
                  <c:v>293.16750018550636</c:v>
                </c:pt>
                <c:pt idx="374">
                  <c:v>293.92666683156108</c:v>
                </c:pt>
                <c:pt idx="375">
                  <c:v>294.6858334776158</c:v>
                </c:pt>
                <c:pt idx="376">
                  <c:v>295.44500012367052</c:v>
                </c:pt>
                <c:pt idx="377">
                  <c:v>296.20416676972525</c:v>
                </c:pt>
                <c:pt idx="378">
                  <c:v>296.96333341577997</c:v>
                </c:pt>
                <c:pt idx="379">
                  <c:v>297.72250006183469</c:v>
                </c:pt>
                <c:pt idx="380">
                  <c:v>298.48166670788942</c:v>
                </c:pt>
                <c:pt idx="381">
                  <c:v>299.24083335394414</c:v>
                </c:pt>
                <c:pt idx="382">
                  <c:v>300</c:v>
                </c:pt>
              </c:numCache>
            </c:numRef>
          </c:xVal>
          <c:yVal>
            <c:numRef>
              <c:f>Tarjetas!$J$4:$J$386</c:f>
              <c:numCache>
                <c:formatCode>0.0000</c:formatCode>
                <c:ptCount val="383"/>
                <c:pt idx="0">
                  <c:v>0.10220521703161765</c:v>
                </c:pt>
                <c:pt idx="1">
                  <c:v>6.9444076135689814E-2</c:v>
                </c:pt>
                <c:pt idx="2">
                  <c:v>6.1304486230121032E-2</c:v>
                </c:pt>
                <c:pt idx="3">
                  <c:v>5.6245798410593822E-2</c:v>
                </c:pt>
                <c:pt idx="4">
                  <c:v>5.2587526121276554E-2</c:v>
                </c:pt>
                <c:pt idx="5">
                  <c:v>4.9737464746122083E-2</c:v>
                </c:pt>
                <c:pt idx="6">
                  <c:v>4.7414287583627313E-2</c:v>
                </c:pt>
                <c:pt idx="7">
                  <c:v>4.5461568984918752E-2</c:v>
                </c:pt>
                <c:pt idx="8">
                  <c:v>4.3783213870803792E-2</c:v>
                </c:pt>
                <c:pt idx="9">
                  <c:v>4.2315940575005241E-2</c:v>
                </c:pt>
                <c:pt idx="10">
                  <c:v>4.1015874401776765E-2</c:v>
                </c:pt>
                <c:pt idx="11">
                  <c:v>3.9851361133714625E-2</c:v>
                </c:pt>
                <c:pt idx="12">
                  <c:v>3.8798826780423228E-2</c:v>
                </c:pt>
                <c:pt idx="13">
                  <c:v>3.784025356793555E-2</c:v>
                </c:pt>
                <c:pt idx="14">
                  <c:v>3.696156937254954E-2</c:v>
                </c:pt>
                <c:pt idx="15">
                  <c:v>3.6151580555523463E-2</c:v>
                </c:pt>
                <c:pt idx="16">
                  <c:v>3.5401242100010791E-2</c:v>
                </c:pt>
                <c:pt idx="17">
                  <c:v>3.4703144765551086E-2</c:v>
                </c:pt>
                <c:pt idx="18">
                  <c:v>3.4051146222813196E-2</c:v>
                </c:pt>
                <c:pt idx="19">
                  <c:v>3.3440100286291949E-2</c:v>
                </c:pt>
                <c:pt idx="20">
                  <c:v>3.2865654557634467E-2</c:v>
                </c:pt>
                <c:pt idx="21">
                  <c:v>3.2324096766821971E-2</c:v>
                </c:pt>
                <c:pt idx="22">
                  <c:v>3.1812236418180331E-2</c:v>
                </c:pt>
                <c:pt idx="23">
                  <c:v>3.132731245405973E-2</c:v>
                </c:pt>
                <c:pt idx="24">
                  <c:v>3.0866920377014488E-2</c:v>
                </c:pt>
                <c:pt idx="25">
                  <c:v>3.0428954120705027E-2</c:v>
                </c:pt>
                <c:pt idx="26">
                  <c:v>3.0011559236540326E-2</c:v>
                </c:pt>
                <c:pt idx="27">
                  <c:v>2.9613094859266022E-2</c:v>
                </c:pt>
                <c:pt idx="28">
                  <c:v>2.9232102553309335E-2</c:v>
                </c:pt>
                <c:pt idx="29">
                  <c:v>2.886728060309076E-2</c:v>
                </c:pt>
                <c:pt idx="30">
                  <c:v>2.851746264814959E-2</c:v>
                </c:pt>
                <c:pt idx="31">
                  <c:v>2.8181599813923226E-2</c:v>
                </c:pt>
                <c:pt idx="32">
                  <c:v>2.785874567614589E-2</c:v>
                </c:pt>
                <c:pt idx="33">
                  <c:v>2.7548043538323973E-2</c:v>
                </c:pt>
                <c:pt idx="34">
                  <c:v>2.7248715609743884E-2</c:v>
                </c:pt>
                <c:pt idx="35">
                  <c:v>2.6960053754630176E-2</c:v>
                </c:pt>
                <c:pt idx="36">
                  <c:v>2.6681411547638333E-2</c:v>
                </c:pt>
                <c:pt idx="37">
                  <c:v>2.6412197421383784E-2</c:v>
                </c:pt>
                <c:pt idx="38">
                  <c:v>2.6151868731522501E-2</c:v>
                </c:pt>
                <c:pt idx="39">
                  <c:v>2.5899926596490264E-2</c:v>
                </c:pt>
                <c:pt idx="40">
                  <c:v>2.5655911394239544E-2</c:v>
                </c:pt>
                <c:pt idx="41">
                  <c:v>2.5419398818586122E-2</c:v>
                </c:pt>
                <c:pt idx="42">
                  <c:v>2.5189996414163175E-2</c:v>
                </c:pt>
                <c:pt idx="43">
                  <c:v>2.4967340522294247E-2</c:v>
                </c:pt>
                <c:pt idx="44">
                  <c:v>2.4751093580972702E-2</c:v>
                </c:pt>
                <c:pt idx="45">
                  <c:v>2.4540941731062402E-2</c:v>
                </c:pt>
                <c:pt idx="46">
                  <c:v>2.4336592688197361E-2</c:v>
                </c:pt>
                <c:pt idx="47">
                  <c:v>2.4137773845957656E-2</c:v>
                </c:pt>
                <c:pt idx="48">
                  <c:v>2.3944230580973593E-2</c:v>
                </c:pt>
                <c:pt idx="49">
                  <c:v>2.3755724734849531E-2</c:v>
                </c:pt>
                <c:pt idx="50">
                  <c:v>2.3572033251353864E-2</c:v>
                </c:pt>
                <c:pt idx="51">
                  <c:v>2.3392946950314554E-2</c:v>
                </c:pt>
                <c:pt idx="52">
                  <c:v>2.321826942218767E-2</c:v>
                </c:pt>
                <c:pt idx="53">
                  <c:v>2.3047816029409685E-2</c:v>
                </c:pt>
                <c:pt idx="54">
                  <c:v>2.2881413002466773E-2</c:v>
                </c:pt>
                <c:pt idx="55">
                  <c:v>2.2718896620169692E-2</c:v>
                </c:pt>
                <c:pt idx="56">
                  <c:v>2.2560112464953316E-2</c:v>
                </c:pt>
                <c:pt idx="57">
                  <c:v>2.2404914745162395E-2</c:v>
                </c:pt>
                <c:pt idx="58">
                  <c:v>2.2253165677267844E-2</c:v>
                </c:pt>
                <c:pt idx="59">
                  <c:v>2.2104734921806576E-2</c:v>
                </c:pt>
                <c:pt idx="60">
                  <c:v>2.1959499067571733E-2</c:v>
                </c:pt>
                <c:pt idx="61">
                  <c:v>2.1817341159217251E-2</c:v>
                </c:pt>
                <c:pt idx="62">
                  <c:v>2.1678150263994174E-2</c:v>
                </c:pt>
                <c:pt idx="63">
                  <c:v>2.15418210738192E-2</c:v>
                </c:pt>
                <c:pt idx="64">
                  <c:v>2.1408253539297113E-2</c:v>
                </c:pt>
                <c:pt idx="65">
                  <c:v>2.1277352532688462E-2</c:v>
                </c:pt>
                <c:pt idx="66">
                  <c:v>2.114902753713745E-2</c:v>
                </c:pt>
                <c:pt idx="67">
                  <c:v>2.1023192359759836E-2</c:v>
                </c:pt>
                <c:pt idx="68">
                  <c:v>2.0899764866441701E-2</c:v>
                </c:pt>
                <c:pt idx="69">
                  <c:v>2.0778666736421297E-2</c:v>
                </c:pt>
                <c:pt idx="70">
                  <c:v>2.0659823234921909E-2</c:v>
                </c:pt>
                <c:pt idx="71">
                  <c:v>2.0543163002277501E-2</c:v>
                </c:pt>
                <c:pt idx="72">
                  <c:v>2.042861785814654E-2</c:v>
                </c:pt>
                <c:pt idx="73">
                  <c:v>2.031612261954651E-2</c:v>
                </c:pt>
                <c:pt idx="74">
                  <c:v>2.0205614931563497E-2</c:v>
                </c:pt>
                <c:pt idx="75">
                  <c:v>2.0097035109699901E-2</c:v>
                </c:pt>
                <c:pt idx="76">
                  <c:v>1.9990325992920544E-2</c:v>
                </c:pt>
                <c:pt idx="77">
                  <c:v>1.9885432806544298E-2</c:v>
                </c:pt>
                <c:pt idx="78">
                  <c:v>1.9782303034206219E-2</c:v>
                </c:pt>
                <c:pt idx="79">
                  <c:v>1.9680886298185232E-2</c:v>
                </c:pt>
                <c:pt idx="80">
                  <c:v>1.9581134247454834E-2</c:v>
                </c:pt>
                <c:pt idx="81">
                  <c:v>1.9483000452871331E-2</c:v>
                </c:pt>
                <c:pt idx="82">
                  <c:v>1.9386440308964453E-2</c:v>
                </c:pt>
                <c:pt idx="83">
                  <c:v>1.9291410941841607E-2</c:v>
                </c:pt>
                <c:pt idx="84">
                  <c:v>1.9197871122758274E-2</c:v>
                </c:pt>
                <c:pt idx="85">
                  <c:v>1.9105781186944698E-2</c:v>
                </c:pt>
                <c:pt idx="86">
                  <c:v>1.9015102957312919E-2</c:v>
                </c:pt>
                <c:pt idx="87">
                  <c:v>1.8925799672699143E-2</c:v>
                </c:pt>
                <c:pt idx="88">
                  <c:v>1.8837835920324335E-2</c:v>
                </c:pt>
                <c:pt idx="89">
                  <c:v>1.8751177572181379E-2</c:v>
                </c:pt>
                <c:pt idx="90">
                  <c:v>1.8665791725080261E-2</c:v>
                </c:pt>
                <c:pt idx="91">
                  <c:v>1.8581646644103823E-2</c:v>
                </c:pt>
                <c:pt idx="92">
                  <c:v>1.849871170924584E-2</c:v>
                </c:pt>
                <c:pt idx="93">
                  <c:v>1.8416957365020616E-2</c:v>
                </c:pt>
                <c:pt idx="94">
                  <c:v>1.8336355072849503E-2</c:v>
                </c:pt>
                <c:pt idx="95">
                  <c:v>1.8256877266044146E-2</c:v>
                </c:pt>
                <c:pt idx="96">
                  <c:v>1.8178497307219821E-2</c:v>
                </c:pt>
                <c:pt idx="97">
                  <c:v>1.8101189447984483E-2</c:v>
                </c:pt>
                <c:pt idx="98">
                  <c:v>1.802492879076039E-2</c:v>
                </c:pt>
                <c:pt idx="99">
                  <c:v>1.7949691252605413E-2</c:v>
                </c:pt>
                <c:pt idx="100">
                  <c:v>1.7875453530910849E-2</c:v>
                </c:pt>
                <c:pt idx="101">
                  <c:v>1.7802193070861082E-2</c:v>
                </c:pt>
                <c:pt idx="102">
                  <c:v>1.772988803454853E-2</c:v>
                </c:pt>
                <c:pt idx="103">
                  <c:v>1.7658517271644757E-2</c:v>
                </c:pt>
                <c:pt idx="104">
                  <c:v>1.7588060291535465E-2</c:v>
                </c:pt>
                <c:pt idx="105">
                  <c:v>1.75184972368332E-2</c:v>
                </c:pt>
                <c:pt idx="106">
                  <c:v>1.7449808858187702E-2</c:v>
                </c:pt>
                <c:pt idx="107">
                  <c:v>1.738197649031889E-2</c:v>
                </c:pt>
                <c:pt idx="108">
                  <c:v>1.7314982029202654E-2</c:v>
                </c:pt>
                <c:pt idx="109">
                  <c:v>1.7248807910344159E-2</c:v>
                </c:pt>
                <c:pt idx="110">
                  <c:v>1.7183437088077524E-2</c:v>
                </c:pt>
                <c:pt idx="111">
                  <c:v>1.7118853015834812E-2</c:v>
                </c:pt>
                <c:pt idx="112">
                  <c:v>1.7055039627330858E-2</c:v>
                </c:pt>
                <c:pt idx="113">
                  <c:v>1.6991981318613802E-2</c:v>
                </c:pt>
                <c:pt idx="114">
                  <c:v>1.6929662930934467E-2</c:v>
                </c:pt>
                <c:pt idx="115">
                  <c:v>1.6868069734390506E-2</c:v>
                </c:pt>
                <c:pt idx="116">
                  <c:v>1.680718741230406E-2</c:v>
                </c:pt>
                <c:pt idx="117">
                  <c:v>1.6747002046294146E-2</c:v>
                </c:pt>
                <c:pt idx="118">
                  <c:v>1.668750010200739E-2</c:v>
                </c:pt>
                <c:pt idx="119">
                  <c:v>1.6628668415472874E-2</c:v>
                </c:pt>
                <c:pt idx="120">
                  <c:v>1.6570494180048884E-2</c:v>
                </c:pt>
                <c:pt idx="121">
                  <c:v>1.6512964933931392E-2</c:v>
                </c:pt>
                <c:pt idx="122">
                  <c:v>1.6456068548195684E-2</c:v>
                </c:pt>
                <c:pt idx="123">
                  <c:v>1.6399793215344356E-2</c:v>
                </c:pt>
                <c:pt idx="124">
                  <c:v>1.6344127438336423E-2</c:v>
                </c:pt>
                <c:pt idx="125">
                  <c:v>1.6289060020073642E-2</c:v>
                </c:pt>
                <c:pt idx="126">
                  <c:v>1.6234580053321682E-2</c:v>
                </c:pt>
                <c:pt idx="127">
                  <c:v>1.6180676911044863E-2</c:v>
                </c:pt>
                <c:pt idx="128">
                  <c:v>1.6127340237134472E-2</c:v>
                </c:pt>
                <c:pt idx="129">
                  <c:v>1.6074559937511803E-2</c:v>
                </c:pt>
                <c:pt idx="130">
                  <c:v>1.6022326171587994E-2</c:v>
                </c:pt>
                <c:pt idx="131">
                  <c:v>1.5970629344063864E-2</c:v>
                </c:pt>
                <c:pt idx="132">
                  <c:v>1.5919460097053716E-2</c:v>
                </c:pt>
                <c:pt idx="133">
                  <c:v>1.5868809302518071E-2</c:v>
                </c:pt>
                <c:pt idx="134">
                  <c:v>1.5818668054991016E-2</c:v>
                </c:pt>
                <c:pt idx="135">
                  <c:v>1.5769027664588656E-2</c:v>
                </c:pt>
                <c:pt idx="136">
                  <c:v>1.571987965028581E-2</c:v>
                </c:pt>
                <c:pt idx="137">
                  <c:v>1.5671215733448915E-2</c:v>
                </c:pt>
                <c:pt idx="138">
                  <c:v>1.5623027831613465E-2</c:v>
                </c:pt>
                <c:pt idx="139">
                  <c:v>1.5575308052495265E-2</c:v>
                </c:pt>
                <c:pt idx="140">
                  <c:v>1.552804868822498E-2</c:v>
                </c:pt>
                <c:pt idx="141">
                  <c:v>1.5481242209796242E-2</c:v>
                </c:pt>
                <c:pt idx="142">
                  <c:v>1.5434881261717989E-2</c:v>
                </c:pt>
                <c:pt idx="143">
                  <c:v>1.5388958656862087E-2</c:v>
                </c:pt>
                <c:pt idx="144">
                  <c:v>1.534346737149796E-2</c:v>
                </c:pt>
                <c:pt idx="145">
                  <c:v>1.5298400540506091E-2</c:v>
                </c:pt>
                <c:pt idx="146">
                  <c:v>1.525375145276288E-2</c:v>
                </c:pt>
                <c:pt idx="147">
                  <c:v>1.5209513546689559E-2</c:v>
                </c:pt>
                <c:pt idx="148">
                  <c:v>1.5165680405958349E-2</c:v>
                </c:pt>
                <c:pt idx="149">
                  <c:v>1.5122245755349243E-2</c:v>
                </c:pt>
                <c:pt idx="150">
                  <c:v>1.507920345675122E-2</c:v>
                </c:pt>
                <c:pt idx="151">
                  <c:v>1.5036547505301947E-2</c:v>
                </c:pt>
                <c:pt idx="152">
                  <c:v>1.4994272025660272E-2</c:v>
                </c:pt>
                <c:pt idx="153">
                  <c:v>1.4952371268406182E-2</c:v>
                </c:pt>
                <c:pt idx="154">
                  <c:v>1.4910839606563024E-2</c:v>
                </c:pt>
                <c:pt idx="155">
                  <c:v>1.4869671532237129E-2</c:v>
                </c:pt>
                <c:pt idx="156">
                  <c:v>1.4828861653370126E-2</c:v>
                </c:pt>
                <c:pt idx="157">
                  <c:v>1.4788404690599539E-2</c:v>
                </c:pt>
                <c:pt idx="158">
                  <c:v>1.4748295474223339E-2</c:v>
                </c:pt>
                <c:pt idx="159">
                  <c:v>1.4708528941264447E-2</c:v>
                </c:pt>
                <c:pt idx="160">
                  <c:v>1.4669100132631285E-2</c:v>
                </c:pt>
                <c:pt idx="161">
                  <c:v>1.463000419037064E-2</c:v>
                </c:pt>
                <c:pt idx="162">
                  <c:v>1.459123635500934E-2</c:v>
                </c:pt>
                <c:pt idx="163">
                  <c:v>1.4552791962981339E-2</c:v>
                </c:pt>
                <c:pt idx="164">
                  <c:v>1.4514666444136947E-2</c:v>
                </c:pt>
                <c:pt idx="165">
                  <c:v>1.4476855319331147E-2</c:v>
                </c:pt>
                <c:pt idx="166">
                  <c:v>1.4439354198088023E-2</c:v>
                </c:pt>
                <c:pt idx="167">
                  <c:v>1.4402158776338434E-2</c:v>
                </c:pt>
                <c:pt idx="168">
                  <c:v>1.4365264834228297E-2</c:v>
                </c:pt>
                <c:pt idx="169">
                  <c:v>1.4328668233994755E-2</c:v>
                </c:pt>
                <c:pt idx="170">
                  <c:v>1.4292364917907911E-2</c:v>
                </c:pt>
                <c:pt idx="171">
                  <c:v>1.4256350906275575E-2</c:v>
                </c:pt>
                <c:pt idx="172">
                  <c:v>1.4220622295508861E-2</c:v>
                </c:pt>
                <c:pt idx="173">
                  <c:v>1.4185175256246395E-2</c:v>
                </c:pt>
                <c:pt idx="174">
                  <c:v>1.415000603153504E-2</c:v>
                </c:pt>
                <c:pt idx="175">
                  <c:v>1.411511093506515E-2</c:v>
                </c:pt>
                <c:pt idx="176">
                  <c:v>1.4080486349458394E-2</c:v>
                </c:pt>
                <c:pt idx="177">
                  <c:v>1.404612872460631E-2</c:v>
                </c:pt>
                <c:pt idx="178">
                  <c:v>1.4012034576057845E-2</c:v>
                </c:pt>
                <c:pt idx="179">
                  <c:v>1.3978200483454124E-2</c:v>
                </c:pt>
                <c:pt idx="180">
                  <c:v>1.3944623089008849E-2</c:v>
                </c:pt>
                <c:pt idx="181">
                  <c:v>1.391129909603276E-2</c:v>
                </c:pt>
                <c:pt idx="182">
                  <c:v>1.3878225267500635E-2</c:v>
                </c:pt>
                <c:pt idx="183">
                  <c:v>1.3845398424659367E-2</c:v>
                </c:pt>
                <c:pt idx="184">
                  <c:v>1.3812815445675771E-2</c:v>
                </c:pt>
                <c:pt idx="185">
                  <c:v>1.3780473264322751E-2</c:v>
                </c:pt>
                <c:pt idx="186">
                  <c:v>1.3748368868702537E-2</c:v>
                </c:pt>
                <c:pt idx="187">
                  <c:v>1.3716499300005774E-2</c:v>
                </c:pt>
                <c:pt idx="188">
                  <c:v>1.3684861651305273E-2</c:v>
                </c:pt>
                <c:pt idx="189">
                  <c:v>1.3653453066383279E-2</c:v>
                </c:pt>
                <c:pt idx="190">
                  <c:v>1.362227073859114E-2</c:v>
                </c:pt>
                <c:pt idx="191">
                  <c:v>1.359131190974034E-2</c:v>
                </c:pt>
                <c:pt idx="192">
                  <c:v>1.3560573869023882E-2</c:v>
                </c:pt>
                <c:pt idx="193">
                  <c:v>1.3530053951966995E-2</c:v>
                </c:pt>
                <c:pt idx="194">
                  <c:v>1.3499749539406318E-2</c:v>
                </c:pt>
                <c:pt idx="195">
                  <c:v>1.3469658056496511E-2</c:v>
                </c:pt>
                <c:pt idx="196">
                  <c:v>1.3439776971743563E-2</c:v>
                </c:pt>
                <c:pt idx="197">
                  <c:v>1.3410103796063864E-2</c:v>
                </c:pt>
                <c:pt idx="198">
                  <c:v>1.3380636081868232E-2</c:v>
                </c:pt>
                <c:pt idx="199">
                  <c:v>1.3351371422170168E-2</c:v>
                </c:pt>
                <c:pt idx="200">
                  <c:v>1.3322307449717526E-2</c:v>
                </c:pt>
                <c:pt idx="201">
                  <c:v>1.3293441836146907E-2</c:v>
                </c:pt>
                <c:pt idx="202">
                  <c:v>1.3264772291160036E-2</c:v>
                </c:pt>
                <c:pt idx="203">
                  <c:v>1.3236296561721516E-2</c:v>
                </c:pt>
                <c:pt idx="204">
                  <c:v>1.320801243127721E-2</c:v>
                </c:pt>
                <c:pt idx="205">
                  <c:v>1.3179917718992721E-2</c:v>
                </c:pt>
                <c:pt idx="206">
                  <c:v>1.3152010279011271E-2</c:v>
                </c:pt>
                <c:pt idx="207">
                  <c:v>1.3124287999730476E-2</c:v>
                </c:pt>
                <c:pt idx="208">
                  <c:v>1.3096748803097384E-2</c:v>
                </c:pt>
                <c:pt idx="209">
                  <c:v>1.3069390643921267E-2</c:v>
                </c:pt>
                <c:pt idx="210">
                  <c:v>1.3042211509203625E-2</c:v>
                </c:pt>
                <c:pt idx="211">
                  <c:v>1.3015209417484911E-2</c:v>
                </c:pt>
                <c:pt idx="212">
                  <c:v>1.2988382418207454E-2</c:v>
                </c:pt>
                <c:pt idx="213">
                  <c:v>1.2961728591094127E-2</c:v>
                </c:pt>
                <c:pt idx="214">
                  <c:v>1.29352460455423E-2</c:v>
                </c:pt>
                <c:pt idx="215">
                  <c:v>1.2908932920032624E-2</c:v>
                </c:pt>
                <c:pt idx="216">
                  <c:v>1.2882787381552224E-2</c:v>
                </c:pt>
                <c:pt idx="217">
                  <c:v>1.2856807625031894E-2</c:v>
                </c:pt>
                <c:pt idx="218">
                  <c:v>1.2830991872796856E-2</c:v>
                </c:pt>
                <c:pt idx="219">
                  <c:v>1.2805338374030759E-2</c:v>
                </c:pt>
                <c:pt idx="220">
                  <c:v>1.2779845404252484E-2</c:v>
                </c:pt>
                <c:pt idx="221">
                  <c:v>1.2754511264805412E-2</c:v>
                </c:pt>
                <c:pt idx="222">
                  <c:v>1.2729334282358831E-2</c:v>
                </c:pt>
                <c:pt idx="223">
                  <c:v>1.2704312808421089E-2</c:v>
                </c:pt>
                <c:pt idx="224">
                  <c:v>1.2679445218864225E-2</c:v>
                </c:pt>
                <c:pt idx="225">
                  <c:v>1.2654729913459695E-2</c:v>
                </c:pt>
                <c:pt idx="226">
                  <c:v>1.2630165315424949E-2</c:v>
                </c:pt>
                <c:pt idx="227">
                  <c:v>1.2605749870980523E-2</c:v>
                </c:pt>
                <c:pt idx="228">
                  <c:v>1.2581482048917351E-2</c:v>
                </c:pt>
                <c:pt idx="229">
                  <c:v>1.2557360340174054E-2</c:v>
                </c:pt>
                <c:pt idx="230">
                  <c:v>1.2533383257423902E-2</c:v>
                </c:pt>
                <c:pt idx="231">
                  <c:v>1.2509549334671199E-2</c:v>
                </c:pt>
                <c:pt idx="232">
                  <c:v>1.2485857126856842E-2</c:v>
                </c:pt>
                <c:pt idx="233">
                  <c:v>1.2462305209472798E-2</c:v>
                </c:pt>
                <c:pt idx="234">
                  <c:v>1.2438892178185269E-2</c:v>
                </c:pt>
                <c:pt idx="235">
                  <c:v>1.2415616648466297E-2</c:v>
                </c:pt>
                <c:pt idx="236">
                  <c:v>1.2392477255233628E-2</c:v>
                </c:pt>
                <c:pt idx="237">
                  <c:v>1.2369472652498555E-2</c:v>
                </c:pt>
                <c:pt idx="238">
                  <c:v>1.2346601513021577E-2</c:v>
                </c:pt>
                <c:pt idx="239">
                  <c:v>1.2323862527975658E-2</c:v>
                </c:pt>
                <c:pt idx="240">
                  <c:v>1.2301254406616877E-2</c:v>
                </c:pt>
                <c:pt idx="241">
                  <c:v>1.2278775875962301E-2</c:v>
                </c:pt>
                <c:pt idx="242">
                  <c:v>1.225642568047485E-2</c:v>
                </c:pt>
                <c:pt idx="243">
                  <c:v>1.2234202581755024E-2</c:v>
                </c:pt>
                <c:pt idx="244">
                  <c:v>1.2212105358239297E-2</c:v>
                </c:pt>
                <c:pt idx="245">
                  <c:v>1.2190132804904993E-2</c:v>
                </c:pt>
                <c:pt idx="246">
                  <c:v>1.2168283732981486E-2</c:v>
                </c:pt>
                <c:pt idx="247">
                  <c:v>1.2146556969667594E-2</c:v>
                </c:pt>
                <c:pt idx="248">
                  <c:v>1.2124951357854956E-2</c:v>
                </c:pt>
                <c:pt idx="249">
                  <c:v>1.2103465755857289E-2</c:v>
                </c:pt>
                <c:pt idx="250">
                  <c:v>1.208209903714536E-2</c:v>
                </c:pt>
                <c:pt idx="251">
                  <c:v>1.2060850090087519E-2</c:v>
                </c:pt>
                <c:pt idx="252">
                  <c:v>1.2039717817695675E-2</c:v>
                </c:pt>
                <c:pt idx="253">
                  <c:v>1.2018701137376568E-2</c:v>
                </c:pt>
                <c:pt idx="254">
                  <c:v>1.1997798980688219E-2</c:v>
                </c:pt>
                <c:pt idx="255">
                  <c:v>1.1977010293101399E-2</c:v>
                </c:pt>
                <c:pt idx="256">
                  <c:v>1.1956334033766043E-2</c:v>
                </c:pt>
                <c:pt idx="257">
                  <c:v>1.1935769175282449E-2</c:v>
                </c:pt>
                <c:pt idx="258">
                  <c:v>1.1915314703477158E-2</c:v>
                </c:pt>
                <c:pt idx="259">
                  <c:v>1.1894969617183414E-2</c:v>
                </c:pt>
                <c:pt idx="260">
                  <c:v>1.1874732928026059E-2</c:v>
                </c:pt>
                <c:pt idx="261">
                  <c:v>1.1854603660210818E-2</c:v>
                </c:pt>
                <c:pt idx="262">
                  <c:v>1.1834580850317798E-2</c:v>
                </c:pt>
                <c:pt idx="263">
                  <c:v>1.1814663547099136E-2</c:v>
                </c:pt>
                <c:pt idx="264">
                  <c:v>1.1794850811280731E-2</c:v>
                </c:pt>
                <c:pt idx="265">
                  <c:v>1.1775141715367874E-2</c:v>
                </c:pt>
                <c:pt idx="266">
                  <c:v>1.1755535343454786E-2</c:v>
                </c:pt>
                <c:pt idx="267">
                  <c:v>1.1736030791037896E-2</c:v>
                </c:pt>
                <c:pt idx="268">
                  <c:v>1.1716627164832813E-2</c:v>
                </c:pt>
                <c:pt idx="269">
                  <c:v>1.1697323582594876E-2</c:v>
                </c:pt>
                <c:pt idx="270">
                  <c:v>1.1678119172943254E-2</c:v>
                </c:pt>
                <c:pt idx="271">
                  <c:v>1.1659013075188416E-2</c:v>
                </c:pt>
                <c:pt idx="272">
                  <c:v>1.1640004439163016E-2</c:v>
                </c:pt>
                <c:pt idx="273">
                  <c:v>1.1621092425056007E-2</c:v>
                </c:pt>
                <c:pt idx="274">
                  <c:v>1.1602276203249972E-2</c:v>
                </c:pt>
                <c:pt idx="275">
                  <c:v>1.1583554954161588E-2</c:v>
                </c:pt>
                <c:pt idx="276">
                  <c:v>1.1564927868085124E-2</c:v>
                </c:pt>
                <c:pt idx="277">
                  <c:v>1.1546394145038948E-2</c:v>
                </c:pt>
                <c:pt idx="278">
                  <c:v>1.1527952994614947E-2</c:v>
                </c:pt>
                <c:pt idx="279">
                  <c:v>1.1509603635830781E-2</c:v>
                </c:pt>
                <c:pt idx="280">
                  <c:v>1.1491345296984956E-2</c:v>
                </c:pt>
                <c:pt idx="281">
                  <c:v>1.1473177215514607E-2</c:v>
                </c:pt>
                <c:pt idx="282">
                  <c:v>1.1455098637855947E-2</c:v>
                </c:pt>
                <c:pt idx="283">
                  <c:v>1.1437108819307333E-2</c:v>
                </c:pt>
                <c:pt idx="284">
                  <c:v>1.1419207023894873E-2</c:v>
                </c:pt>
                <c:pt idx="285">
                  <c:v>1.1401392524240526E-2</c:v>
                </c:pt>
                <c:pt idx="286">
                  <c:v>1.1383664601432652E-2</c:v>
                </c:pt>
                <c:pt idx="287">
                  <c:v>1.1366022544898942E-2</c:v>
                </c:pt>
                <c:pt idx="288">
                  <c:v>1.134846565228167E-2</c:v>
                </c:pt>
                <c:pt idx="289">
                  <c:v>1.1330993229315248E-2</c:v>
                </c:pt>
                <c:pt idx="290">
                  <c:v>1.1313604589705999E-2</c:v>
                </c:pt>
                <c:pt idx="291">
                  <c:v>1.1296299055014133E-2</c:v>
                </c:pt>
                <c:pt idx="292">
                  <c:v>1.127907595453783E-2</c:v>
                </c:pt>
                <c:pt idx="293">
                  <c:v>1.1261934625199465E-2</c:v>
                </c:pt>
                <c:pt idx="294">
                  <c:v>1.1244874411433821E-2</c:v>
                </c:pt>
                <c:pt idx="295">
                  <c:v>1.1227894665078364E-2</c:v>
                </c:pt>
                <c:pt idx="296">
                  <c:v>1.1210994745265433E-2</c:v>
                </c:pt>
                <c:pt idx="297">
                  <c:v>1.1194174018316396E-2</c:v>
                </c:pt>
                <c:pt idx="298">
                  <c:v>1.1177431857637634E-2</c:v>
                </c:pt>
                <c:pt idx="299">
                  <c:v>1.1160767643618416E-2</c:v>
                </c:pt>
                <c:pt idx="300">
                  <c:v>1.1144180763530541E-2</c:v>
                </c:pt>
                <c:pt idx="301">
                  <c:v>1.1127670611429758E-2</c:v>
                </c:pt>
                <c:pt idx="302">
                  <c:v>1.1111236588058926E-2</c:v>
                </c:pt>
                <c:pt idx="303">
                  <c:v>1.1094878100752834E-2</c:v>
                </c:pt>
                <c:pt idx="304">
                  <c:v>1.1078594563344712E-2</c:v>
                </c:pt>
                <c:pt idx="305">
                  <c:v>1.1062385396074341E-2</c:v>
                </c:pt>
                <c:pt idx="306">
                  <c:v>1.1046250025497771E-2</c:v>
                </c:pt>
                <c:pt idx="307">
                  <c:v>1.1030187884398582E-2</c:v>
                </c:pt>
                <c:pt idx="308">
                  <c:v>1.1014198411700673E-2</c:v>
                </c:pt>
                <c:pt idx="309">
                  <c:v>1.0998281052382557E-2</c:v>
                </c:pt>
                <c:pt idx="310">
                  <c:v>1.0982435257393107E-2</c:v>
                </c:pt>
                <c:pt idx="311">
                  <c:v>1.0966660483568738E-2</c:v>
                </c:pt>
                <c:pt idx="312">
                  <c:v>1.0950956193552002E-2</c:v>
                </c:pt>
                <c:pt idx="313">
                  <c:v>1.0935321855711557E-2</c:v>
                </c:pt>
                <c:pt idx="314">
                  <c:v>1.0919756944063486E-2</c:v>
                </c:pt>
                <c:pt idx="315">
                  <c:v>1.0904260938193935E-2</c:v>
                </c:pt>
                <c:pt idx="316">
                  <c:v>1.0888833323183054E-2</c:v>
                </c:pt>
                <c:pt idx="317">
                  <c:v>1.0873473589530202E-2</c:v>
                </c:pt>
                <c:pt idx="318">
                  <c:v>1.0858181233080418E-2</c:v>
                </c:pt>
                <c:pt idx="319">
                  <c:v>1.0842955754952073E-2</c:v>
                </c:pt>
                <c:pt idx="320">
                  <c:v>1.0827796661465772E-2</c:v>
                </c:pt>
                <c:pt idx="321">
                  <c:v>1.0812703464074374E-2</c:v>
                </c:pt>
                <c:pt idx="322">
                  <c:v>1.0797675679294219E-2</c:v>
                </c:pt>
                <c:pt idx="323">
                  <c:v>1.0782712828637436E-2</c:v>
                </c:pt>
                <c:pt idx="324">
                  <c:v>1.0767814438545388E-2</c:v>
                </c:pt>
                <c:pt idx="325">
                  <c:v>1.0752980040323188E-2</c:v>
                </c:pt>
                <c:pt idx="326">
                  <c:v>1.0738209170075289E-2</c:v>
                </c:pt>
                <c:pt idx="327">
                  <c:v>1.072350136864211E-2</c:v>
                </c:pt>
                <c:pt idx="328">
                  <c:v>1.0708856181537687E-2</c:v>
                </c:pt>
                <c:pt idx="329">
                  <c:v>1.0694273158888334E-2</c:v>
                </c:pt>
                <c:pt idx="330">
                  <c:v>1.0679751855372281E-2</c:v>
                </c:pt>
                <c:pt idx="331">
                  <c:v>1.0665291830160298E-2</c:v>
                </c:pt>
                <c:pt idx="332">
                  <c:v>1.0650892646857231E-2</c:v>
                </c:pt>
                <c:pt idx="333">
                  <c:v>1.0636553873444504E-2</c:v>
                </c:pt>
                <c:pt idx="334">
                  <c:v>1.0622275082223525E-2</c:v>
                </c:pt>
                <c:pt idx="335">
                  <c:v>1.0608055849759965E-2</c:v>
                </c:pt>
                <c:pt idx="336">
                  <c:v>1.0593895756828956E-2</c:v>
                </c:pt>
                <c:pt idx="337">
                  <c:v>1.0579794388361109E-2</c:v>
                </c:pt>
                <c:pt idx="338">
                  <c:v>1.0565751333389417E-2</c:v>
                </c:pt>
                <c:pt idx="339">
                  <c:v>1.0551766184996954E-2</c:v>
                </c:pt>
                <c:pt idx="340">
                  <c:v>1.0537838540265425E-2</c:v>
                </c:pt>
                <c:pt idx="341">
                  <c:v>1.0523968000224483E-2</c:v>
                </c:pt>
                <c:pt idx="342">
                  <c:v>1.0510154169801856E-2</c:v>
                </c:pt>
                <c:pt idx="343">
                  <c:v>1.0496396657774229E-2</c:v>
                </c:pt>
                <c:pt idx="344">
                  <c:v>1.0482695076718899E-2</c:v>
                </c:pt>
                <c:pt idx="345">
                  <c:v>1.0469049042966158E-2</c:v>
                </c:pt>
                <c:pt idx="346">
                  <c:v>1.0455458176552414E-2</c:v>
                </c:pt>
                <c:pt idx="347">
                  <c:v>1.0441922101174032E-2</c:v>
                </c:pt>
                <c:pt idx="348">
                  <c:v>1.042844044414187E-2</c:v>
                </c:pt>
                <c:pt idx="349">
                  <c:v>1.041501283633651E-2</c:v>
                </c:pt>
                <c:pt idx="350">
                  <c:v>1.040163891216417E-2</c:v>
                </c:pt>
                <c:pt idx="351">
                  <c:v>1.0388318309513284E-2</c:v>
                </c:pt>
                <c:pt idx="352">
                  <c:v>1.0375050669711722E-2</c:v>
                </c:pt>
                <c:pt idx="353">
                  <c:v>1.0361835637484674E-2</c:v>
                </c:pt>
                <c:pt idx="354">
                  <c:v>1.0348672860913155E-2</c:v>
                </c:pt>
                <c:pt idx="355">
                  <c:v>1.0335561991393129E-2</c:v>
                </c:pt>
                <c:pt idx="356">
                  <c:v>1.0322502683595233E-2</c:v>
                </c:pt>
                <c:pt idx="357">
                  <c:v>1.0309494595425135E-2</c:v>
                </c:pt>
                <c:pt idx="358">
                  <c:v>1.0296537387984432E-2</c:v>
                </c:pt>
                <c:pt idx="359">
                  <c:v>1.0283630725532162E-2</c:v>
                </c:pt>
                <c:pt idx="360">
                  <c:v>1.0270774275446867E-2</c:v>
                </c:pt>
                <c:pt idx="361">
                  <c:v>1.0257967708189219E-2</c:v>
                </c:pt>
                <c:pt idx="362">
                  <c:v>1.0245210697265193E-2</c:v>
                </c:pt>
                <c:pt idx="363">
                  <c:v>1.0232502919189779E-2</c:v>
                </c:pt>
                <c:pt idx="364">
                  <c:v>1.0219844053451221E-2</c:v>
                </c:pt>
                <c:pt idx="365">
                  <c:v>1.0207233782475782E-2</c:v>
                </c:pt>
                <c:pt idx="366">
                  <c:v>1.0194671791593005E-2</c:v>
                </c:pt>
                <c:pt idx="367">
                  <c:v>1.0182157769001504E-2</c:v>
                </c:pt>
                <c:pt idx="368">
                  <c:v>1.0169691405735216E-2</c:v>
                </c:pt>
                <c:pt idx="369">
                  <c:v>1.0157272395630171E-2</c:v>
                </c:pt>
                <c:pt idx="370">
                  <c:v>1.0144900435291704E-2</c:v>
                </c:pt>
                <c:pt idx="371">
                  <c:v>1.0132575224062171E-2</c:v>
                </c:pt>
                <c:pt idx="372">
                  <c:v>1.0120296463989105E-2</c:v>
                </c:pt>
                <c:pt idx="373">
                  <c:v>1.010806385979382E-2</c:v>
                </c:pt>
                <c:pt idx="374">
                  <c:v>1.0095877118840491E-2</c:v>
                </c:pt>
                <c:pt idx="375">
                  <c:v>1.0083735951105635E-2</c:v>
                </c:pt>
                <c:pt idx="376">
                  <c:v>1.0071640069148043E-2</c:v>
                </c:pt>
                <c:pt idx="377">
                  <c:v>1.0059589188079143E-2</c:v>
                </c:pt>
                <c:pt idx="378">
                  <c:v>1.0047583025533756E-2</c:v>
                </c:pt>
                <c:pt idx="379">
                  <c:v>1.0035621301641285E-2</c:v>
                </c:pt>
                <c:pt idx="380">
                  <c:v>1.0023703738997289E-2</c:v>
                </c:pt>
                <c:pt idx="381">
                  <c:v>1.0011830062635466E-2</c:v>
                </c:pt>
                <c:pt idx="382">
                  <c:v>0.01</c:v>
                </c:pt>
              </c:numCache>
            </c:numRef>
          </c:yVal>
        </c:ser>
        <c:axId val="63388288"/>
        <c:axId val="63427328"/>
      </c:scatterChart>
      <c:valAx>
        <c:axId val="63388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Millones de Tarjetas Producidas - x</a:t>
                </a:r>
              </a:p>
            </c:rich>
          </c:tx>
        </c:title>
        <c:numFmt formatCode="#,##0" sourceLinked="0"/>
        <c:tickLblPos val="nextTo"/>
        <c:crossAx val="63427328"/>
        <c:crosses val="autoZero"/>
        <c:crossBetween val="midCat"/>
      </c:valAx>
      <c:valAx>
        <c:axId val="63427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US$ - y</a:t>
                </a:r>
                <a:r>
                  <a:rPr lang="es-ES" baseline="0"/>
                  <a:t> </a:t>
                </a:r>
                <a:endParaRPr lang="es-ES"/>
              </a:p>
            </c:rich>
          </c:tx>
        </c:title>
        <c:numFmt formatCode="0.00" sourceLinked="0"/>
        <c:tickLblPos val="nextTo"/>
        <c:crossAx val="63388288"/>
        <c:crosses val="autoZero"/>
        <c:crossBetween val="midCat"/>
      </c:valAx>
      <c:spPr>
        <a:noFill/>
        <a:ln w="25400">
          <a:noFill/>
        </a:ln>
      </c:spPr>
    </c:plotArea>
    <c:legend>
      <c:legendPos val="b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219075</xdr:colOff>
      <xdr:row>30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visory\Forecasts%20for%20Telecoms%20and%20Mobile\2001_4q\Forecasts\Mobile\AME\CTYWKBKS\LA\MEX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11"/>
  <sheetViews>
    <sheetView tabSelected="1" zoomScale="85" zoomScaleNormal="85" workbookViewId="0">
      <selection activeCell="B2" sqref="B2"/>
    </sheetView>
  </sheetViews>
  <sheetFormatPr baseColWidth="10" defaultRowHeight="15"/>
  <cols>
    <col min="1" max="1" width="13.5703125" bestFit="1" customWidth="1"/>
    <col min="2" max="2" width="15.7109375" bestFit="1" customWidth="1"/>
    <col min="3" max="3" width="11.42578125" customWidth="1"/>
    <col min="4" max="4" width="13.28515625" customWidth="1"/>
    <col min="5" max="5" width="13.85546875" customWidth="1"/>
  </cols>
  <sheetData>
    <row r="1" spans="1:6" ht="15.75" thickBot="1">
      <c r="A1" s="72"/>
      <c r="B1" s="73" t="s">
        <v>41</v>
      </c>
      <c r="C1" s="72"/>
      <c r="D1" s="73" t="s">
        <v>28</v>
      </c>
      <c r="E1" s="73" t="s">
        <v>44</v>
      </c>
      <c r="F1" s="73" t="s">
        <v>236</v>
      </c>
    </row>
    <row r="2" spans="1:6" ht="24" thickBot="1">
      <c r="A2" s="74" t="s">
        <v>253</v>
      </c>
      <c r="B2" s="75">
        <f>D2+E2+F2</f>
        <v>9.0031806343795302E-4</v>
      </c>
      <c r="C2" s="72"/>
      <c r="D2" s="210">
        <f>'C 13'!D21</f>
        <v>4.7536105886821254E-4</v>
      </c>
      <c r="E2" s="210">
        <f>'C 13'!E21</f>
        <v>3.4310990789356298E-4</v>
      </c>
      <c r="F2" s="210">
        <f>(D2+E2)*OVERHEAD</f>
        <v>8.1847096676177552E-5</v>
      </c>
    </row>
    <row r="3" spans="1:6" ht="24" thickBot="1">
      <c r="A3" s="74" t="s">
        <v>254</v>
      </c>
      <c r="B3" s="240">
        <v>0.1011</v>
      </c>
      <c r="C3" s="72"/>
      <c r="D3" s="76">
        <f>D2/$B$2</f>
        <v>0.52799235978116399</v>
      </c>
      <c r="E3" s="76">
        <f>E2/$B$2</f>
        <v>0.38109854930974513</v>
      </c>
      <c r="F3" s="76">
        <f>F2/$B$2</f>
        <v>9.0909090909090912E-2</v>
      </c>
    </row>
    <row r="4" spans="1:6">
      <c r="B4" s="72"/>
    </row>
    <row r="5" spans="1:6">
      <c r="B5" s="72"/>
    </row>
    <row r="6" spans="1:6">
      <c r="B6" s="72"/>
    </row>
    <row r="7" spans="1:6">
      <c r="B7" s="72"/>
    </row>
    <row r="8" spans="1:6">
      <c r="B8" s="72"/>
    </row>
    <row r="9" spans="1:6">
      <c r="B9" s="72"/>
    </row>
    <row r="10" spans="1:6">
      <c r="B10" s="72"/>
    </row>
    <row r="11" spans="1:6">
      <c r="B11" s="72"/>
    </row>
  </sheetData>
  <conditionalFormatting sqref="B3">
    <cfRule type="expression" dxfId="2" priority="43">
      <formula>#REF!="No"</formula>
    </cfRule>
  </conditionalFormatting>
  <conditionalFormatting sqref="A3">
    <cfRule type="expression" dxfId="1" priority="44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6"/>
  <dimension ref="A1:G31"/>
  <sheetViews>
    <sheetView workbookViewId="0">
      <selection activeCell="B5" sqref="B5"/>
    </sheetView>
  </sheetViews>
  <sheetFormatPr baseColWidth="10" defaultRowHeight="15"/>
  <cols>
    <col min="1" max="1" width="5.7109375" customWidth="1"/>
    <col min="2" max="2" width="7.140625" customWidth="1"/>
  </cols>
  <sheetData>
    <row r="1" spans="1:7" ht="31.5">
      <c r="A1" s="264" t="s">
        <v>43</v>
      </c>
      <c r="B1" s="264" t="s">
        <v>70</v>
      </c>
      <c r="C1" s="78"/>
      <c r="D1" s="78"/>
      <c r="E1" s="78"/>
      <c r="F1" s="78"/>
    </row>
    <row r="2" spans="1:7">
      <c r="A2" s="283">
        <v>2</v>
      </c>
      <c r="B2" s="284">
        <f>1+WACC</f>
        <v>1.1369</v>
      </c>
      <c r="C2" s="78"/>
      <c r="D2" s="78"/>
      <c r="E2" s="78"/>
      <c r="F2" s="78"/>
    </row>
    <row r="3" spans="1:7">
      <c r="A3" s="283">
        <v>3</v>
      </c>
      <c r="B3" s="284">
        <f>(WACC*(1-1/(9*(1+WACC)^2)))/(1-1/(1+WACC)^2)</f>
        <v>0.55287121479193624</v>
      </c>
      <c r="C3" s="78"/>
      <c r="D3" s="78"/>
      <c r="E3" s="78"/>
      <c r="F3" s="78"/>
      <c r="G3" s="78"/>
    </row>
    <row r="4" spans="1:7">
      <c r="A4" s="283">
        <v>4</v>
      </c>
      <c r="B4" s="284">
        <f>(WACC*(1-1/(8*(1+WACC)^3)))/(1-1/(1+WACC)^3)</f>
        <v>0.39204357714928406</v>
      </c>
      <c r="C4" s="78"/>
      <c r="D4" s="78"/>
      <c r="E4" s="78"/>
      <c r="F4" s="78"/>
    </row>
    <row r="5" spans="1:7">
      <c r="A5" s="283">
        <v>5</v>
      </c>
      <c r="B5" s="284">
        <f>(WACC*(1-27/(250*(1+WACC)^4)))/(1-1/(1+WACC)^4)</f>
        <v>0.31898049625921876</v>
      </c>
      <c r="C5" s="78"/>
      <c r="D5" s="78"/>
      <c r="E5" s="78"/>
      <c r="F5" s="78"/>
    </row>
    <row r="6" spans="1:7">
      <c r="A6" s="283">
        <v>6</v>
      </c>
      <c r="B6" s="284">
        <f>(WACC*(1-8/(81*(1+WACC)^5)))/(1-1/(1+WACC)^5)</f>
        <v>0.27408264725048626</v>
      </c>
    </row>
    <row r="7" spans="1:7">
      <c r="A7" s="283">
        <v>7</v>
      </c>
      <c r="B7" s="284">
        <f>(WACC*(1-1250/(7203*(1+WACC)^5)))/(1-1/(1+WACC)^5)</f>
        <v>0.2627009167140284</v>
      </c>
      <c r="C7" s="78"/>
      <c r="D7" s="78"/>
      <c r="E7" s="78"/>
      <c r="F7" s="78"/>
    </row>
    <row r="8" spans="1:7">
      <c r="A8" s="283">
        <v>8</v>
      </c>
      <c r="B8" s="284">
        <f>(WACC*(1-243/(1024*(1+WACC)^5)))/(1-1/(1+WACC)^5)</f>
        <v>0.25299470579667449</v>
      </c>
      <c r="C8" s="78"/>
      <c r="D8" s="78"/>
      <c r="E8" s="78"/>
      <c r="F8" s="78"/>
    </row>
    <row r="9" spans="1:7">
      <c r="A9" s="283">
        <v>9</v>
      </c>
      <c r="B9" s="284">
        <f>(WACC*(1-16807/(59049*(1+WACC)^5)))/(1-1/(1+WACC)^5)</f>
        <v>0.24579132016376423</v>
      </c>
      <c r="C9" s="78"/>
      <c r="D9" s="78"/>
      <c r="E9" s="78"/>
      <c r="F9" s="78"/>
    </row>
    <row r="10" spans="1:7">
      <c r="A10" s="283">
        <v>10</v>
      </c>
      <c r="B10" s="284">
        <f>(WACC*(1-1024/(3125*(1+WACC)^5)))/(1-1/(1+WACC)^5)</f>
        <v>0.23923810451171507</v>
      </c>
      <c r="C10" s="78"/>
      <c r="D10" s="78"/>
      <c r="E10" s="78"/>
      <c r="F10" s="78"/>
    </row>
    <row r="11" spans="1:7">
      <c r="A11" s="283">
        <v>11</v>
      </c>
      <c r="B11" s="284">
        <f>(WACC*(1-59049/(161051*(1+WACC)^5)))/(1-1/(1+WACC)^5)</f>
        <v>0.2333065628808616</v>
      </c>
      <c r="C11" s="78"/>
      <c r="D11" s="78"/>
      <c r="E11" s="78"/>
      <c r="F11" s="78"/>
    </row>
    <row r="12" spans="1:7">
      <c r="A12" s="283">
        <v>12</v>
      </c>
      <c r="B12" s="284">
        <f>(WACC*(1-3125/(7776*(1+WACC)^5)))/(1-1/(1+WACC)^5)</f>
        <v>0.22794402002882583</v>
      </c>
    </row>
    <row r="13" spans="1:7">
      <c r="A13" s="283">
        <v>13</v>
      </c>
      <c r="B13" s="284">
        <f>(WACC*(1-161051/(371293*(1+WACC)^5)))/(1-1/(1+WACC)^5)</f>
        <v>0.22309142397868384</v>
      </c>
    </row>
    <row r="14" spans="1:7">
      <c r="A14" s="283">
        <v>14</v>
      </c>
      <c r="B14" s="284">
        <f>(WACC*(1-7776/(16807*(1+WACC)^5)))/(1-1/(1+WACC)^5)</f>
        <v>0.2186912753841562</v>
      </c>
    </row>
    <row r="15" spans="1:7">
      <c r="A15" s="283">
        <v>15</v>
      </c>
      <c r="B15" s="284">
        <f>(WACC*(1-371293/(759375*(1+WACC)^5)))/(1-1/(1+WACC)^5)</f>
        <v>0.21469085459033893</v>
      </c>
    </row>
    <row r="16" spans="1:7">
      <c r="A16" s="283">
        <v>16</v>
      </c>
      <c r="B16" s="284">
        <f>(WACC*(1-16807/(32768*(1+WACC)^5)))/(1-1/(1+WACC)^5)</f>
        <v>0.21104322980236562</v>
      </c>
    </row>
    <row r="17" spans="1:2">
      <c r="A17" s="283">
        <v>17</v>
      </c>
      <c r="B17" s="284">
        <f>(WACC*(1-759375/(1419857*(1+WACC)^5)))/(1-1/(1+WACC)^5)</f>
        <v>0.20770724834835477</v>
      </c>
    </row>
    <row r="18" spans="1:2">
      <c r="A18" s="283">
        <v>18</v>
      </c>
      <c r="B18" s="284">
        <f>(WACC*(1-32768/(59049*(1+WACC)^5)))/(1-1/(1+WACC)^5)</f>
        <v>0.20464709495819058</v>
      </c>
    </row>
    <row r="19" spans="1:2">
      <c r="A19" s="283">
        <v>19</v>
      </c>
      <c r="B19" s="284">
        <f>(WACC*(1-1419857/(2476099*(1+WACC)^5)))/(1-1/(1+WACC)^5)</f>
        <v>0.20183169887401928</v>
      </c>
    </row>
    <row r="20" spans="1:2">
      <c r="A20" s="283">
        <v>20</v>
      </c>
      <c r="B20" s="284">
        <f>(WACC*(1-59049/(100000*(1+WACC)^5)))/(1-1/(1+WACC)^5)</f>
        <v>0.19923412240985311</v>
      </c>
    </row>
    <row r="21" spans="1:2">
      <c r="A21" s="283">
        <v>21</v>
      </c>
      <c r="B21" s="284">
        <f>(WACC*(1-2476099/(4084101*(1+WACC)^5)))/(1-1/(1+WACC)^5)</f>
        <v>0.19683098960019005</v>
      </c>
    </row>
    <row r="22" spans="1:2">
      <c r="A22" s="283">
        <v>22</v>
      </c>
      <c r="B22" s="284">
        <f>(WACC*(1-100000/(161051*(1+WACC)^5)))/(1-1/(1+WACC)^5)</f>
        <v>0.19460197712240432</v>
      </c>
    </row>
    <row r="23" spans="1:2">
      <c r="A23" s="283">
        <v>23</v>
      </c>
      <c r="B23" s="284">
        <f>(WACC*(1-4084101/(6436343*(1+WACC)^5)))/(1-1/(1+WACC)^5)</f>
        <v>0.19252937211785498</v>
      </c>
    </row>
    <row r="24" spans="1:2">
      <c r="A24" s="283">
        <v>24</v>
      </c>
      <c r="B24" s="284">
        <f>(WACC*(1-161051/(248832*(1+WACC)^5)))/(1-1/(1+WACC)^5)</f>
        <v>0.190597693521221</v>
      </c>
    </row>
    <row r="25" spans="1:2">
      <c r="A25" s="283">
        <v>25</v>
      </c>
      <c r="B25" s="284">
        <f>(WACC*(1-6436343/(9765625*(1+WACC)^5)))/(1-1/(1+WACC)^5)</f>
        <v>0.18879337028309895</v>
      </c>
    </row>
    <row r="26" spans="1:2">
      <c r="A26" s="283">
        <v>26</v>
      </c>
      <c r="B26" s="284">
        <f>(WACC*(1-248832/(371293*(1+WACC)^5)))/(1-1/(1+WACC)^5)</f>
        <v>0.18710446900169139</v>
      </c>
    </row>
    <row r="27" spans="1:2">
      <c r="A27" s="283">
        <v>27</v>
      </c>
      <c r="B27" s="284">
        <f>(WACC*(1-9765625/(14348907*(1+WACC)^5)))/(1-1/(1+WACC)^5)</f>
        <v>0.18552046371483469</v>
      </c>
    </row>
    <row r="28" spans="1:2">
      <c r="A28" s="283">
        <v>28</v>
      </c>
      <c r="B28" s="284">
        <f>(WACC*(1-371293/(537824*(1+WACC)^5)))/(1-1/(1+WACC)^5)</f>
        <v>0.18403204130563791</v>
      </c>
    </row>
    <row r="29" spans="1:2">
      <c r="A29" s="283">
        <v>29</v>
      </c>
      <c r="B29" s="284">
        <f>(WACC*(1-14348907/(20511149*(1+WACC)^5)))/(1-1/(1+WACC)^5)</f>
        <v>0.18263093682428255</v>
      </c>
    </row>
    <row r="30" spans="1:2">
      <c r="A30" s="283">
        <v>30</v>
      </c>
      <c r="B30" s="284">
        <f>(WACC*(1-537824/(759375*(1+WACC)^5)))/(1-1/(1+WACC)^5)</f>
        <v>0.18130979387176982</v>
      </c>
    </row>
    <row r="31" spans="1:2">
      <c r="A31" s="283">
        <v>31</v>
      </c>
      <c r="B31" s="284">
        <f>(WACC*(1-20511149/(28629151*(1+WACC)^5)))/(1-1/(1+WACC)^5)</f>
        <v>0.18006204596119912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7"/>
  <dimension ref="A2:J459"/>
  <sheetViews>
    <sheetView workbookViewId="0">
      <selection activeCell="B7" sqref="B7"/>
    </sheetView>
  </sheetViews>
  <sheetFormatPr baseColWidth="10" defaultRowHeight="15"/>
  <cols>
    <col min="1" max="1" width="20.42578125" bestFit="1" customWidth="1"/>
    <col min="2" max="2" width="26.5703125" bestFit="1" customWidth="1"/>
    <col min="3" max="3" width="18.28515625" bestFit="1" customWidth="1"/>
    <col min="4" max="4" width="4.42578125" customWidth="1"/>
    <col min="5" max="5" width="17" bestFit="1" customWidth="1"/>
    <col min="6" max="6" width="2.140625" bestFit="1" customWidth="1"/>
    <col min="8" max="8" width="6.42578125" customWidth="1"/>
  </cols>
  <sheetData>
    <row r="2" spans="1:10" ht="15.75">
      <c r="E2" s="264" t="s">
        <v>257</v>
      </c>
    </row>
    <row r="3" spans="1:10" ht="45" customHeight="1">
      <c r="A3" s="264" t="s">
        <v>247</v>
      </c>
      <c r="B3" s="264" t="s">
        <v>262</v>
      </c>
      <c r="C3" s="264" t="s">
        <v>290</v>
      </c>
      <c r="D3" s="253"/>
      <c r="E3" s="72"/>
      <c r="H3" s="72"/>
      <c r="I3" s="72" t="s">
        <v>266</v>
      </c>
      <c r="J3" s="72" t="s">
        <v>267</v>
      </c>
    </row>
    <row r="4" spans="1:10">
      <c r="A4" s="72" t="s">
        <v>258</v>
      </c>
      <c r="B4" s="308">
        <v>10</v>
      </c>
      <c r="C4" s="309">
        <v>0.1</v>
      </c>
      <c r="D4" s="251"/>
      <c r="F4" s="72" t="s">
        <v>263</v>
      </c>
      <c r="G4" s="319">
        <f>(C4-C5)*(C4-C6)*(C5-C6)/(C4*C5*C6*(B4*C4*(C5-C6)+B5*C5*(C6-C4)+B6*C6*(C4-C5)))</f>
        <v>28.064956746091973</v>
      </c>
      <c r="H4" s="72"/>
      <c r="I4" s="255">
        <f>MIN(B4,-G5/G4)</f>
        <v>9.9983412070945157</v>
      </c>
      <c r="J4" s="251">
        <f t="shared" ref="J4:J68" si="0">1/(POWER($G$4*I4+$G$5,1/2)+$G$6)</f>
        <v>0.10220521703161765</v>
      </c>
    </row>
    <row r="5" spans="1:10">
      <c r="A5" s="72" t="s">
        <v>259</v>
      </c>
      <c r="B5" s="308">
        <v>25</v>
      </c>
      <c r="C5" s="309">
        <v>3.3000000000000002E-2</v>
      </c>
      <c r="D5" s="251"/>
      <c r="F5" s="72" t="s">
        <v>264</v>
      </c>
      <c r="G5" s="319">
        <f>(POWER(B4*POWER(C4*(C5-C6),2),2)+POWER(B5*POWER(C5*(C6-C4),2),2)+POWER(B6*POWER(C6*(C4-C5),2),2)-2*(B4*B5*POWER(C4*C5*(C5-C6)*(C4-C6),2)+B5*B6*POWER(C5*C6*(C4-C5)*(C4-C6),2)+B4*B6*POWER(C4*C6*(C4-C5)*(C5-C6),2)))/POWER(2*C4*C5*C6*(B4*C4*(C5-C6)+B5*C5*(C6-C4)+B6*C6*(C4-C5)),2)</f>
        <v>-280.60301350977659</v>
      </c>
      <c r="H5" s="72"/>
      <c r="I5" s="255">
        <f>I4+($I$386-$I$4)/382</f>
        <v>10.757507853149242</v>
      </c>
      <c r="J5" s="251">
        <f t="shared" si="0"/>
        <v>6.9444076135689814E-2</v>
      </c>
    </row>
    <row r="6" spans="1:10">
      <c r="A6" s="72" t="s">
        <v>260</v>
      </c>
      <c r="B6" s="308">
        <v>300</v>
      </c>
      <c r="C6" s="309">
        <v>0.01</v>
      </c>
      <c r="D6" s="251"/>
      <c r="F6" s="72" t="s">
        <v>265</v>
      </c>
      <c r="G6" s="319">
        <f>((B4-B5)*POWER(C4*C5,2)+(B5-B6)*POWER(C5*C6,2)+(B6-B4)*POWER(C6*C4,2))/(2*C4*C5*C6*(B4*C4*(C5-C6)+B5*C5*(C6-C4)+B6*C6*(C4-C5)))</f>
        <v>9.7842363535184838</v>
      </c>
      <c r="I6" s="255">
        <f t="shared" ref="I6:I69" si="1">I5+($I$386-$I$4)/382</f>
        <v>11.516674499203969</v>
      </c>
      <c r="J6" s="251">
        <f t="shared" si="0"/>
        <v>6.1304486230121032E-2</v>
      </c>
    </row>
    <row r="7" spans="1:10" ht="18.75">
      <c r="A7" s="72" t="s">
        <v>261</v>
      </c>
      <c r="B7" s="317">
        <f>'C 7'!D16/1000000</f>
        <v>100</v>
      </c>
      <c r="C7" s="252">
        <f>1/(POWER($G$4*B7+$G$5,1/2)+$G$6)</f>
        <v>1.665487058139738E-2</v>
      </c>
      <c r="D7" s="282"/>
      <c r="E7" s="72"/>
      <c r="F7" s="72"/>
      <c r="I7" s="255">
        <f t="shared" si="1"/>
        <v>12.275841145258696</v>
      </c>
      <c r="J7" s="251">
        <f t="shared" si="0"/>
        <v>5.6245798410593822E-2</v>
      </c>
    </row>
    <row r="8" spans="1:10">
      <c r="A8" s="72"/>
      <c r="B8" s="250"/>
      <c r="C8" s="251"/>
      <c r="D8" s="251"/>
      <c r="E8" s="72"/>
      <c r="F8" s="72"/>
      <c r="I8" s="255">
        <f t="shared" si="1"/>
        <v>13.035007791313422</v>
      </c>
      <c r="J8" s="251">
        <f t="shared" si="0"/>
        <v>5.2587526121276554E-2</v>
      </c>
    </row>
    <row r="9" spans="1:10">
      <c r="B9" s="318"/>
      <c r="C9" s="242"/>
      <c r="D9" s="242"/>
      <c r="I9" s="255">
        <f t="shared" si="1"/>
        <v>13.794174437368149</v>
      </c>
      <c r="J9" s="251">
        <f t="shared" si="0"/>
        <v>4.9737464746122083E-2</v>
      </c>
    </row>
    <row r="10" spans="1:10">
      <c r="B10" s="318"/>
      <c r="C10" s="242"/>
      <c r="D10" s="242"/>
      <c r="I10" s="255">
        <f t="shared" si="1"/>
        <v>14.553341083422875</v>
      </c>
      <c r="J10" s="251">
        <f t="shared" si="0"/>
        <v>4.7414287583627313E-2</v>
      </c>
    </row>
    <row r="11" spans="1:10">
      <c r="B11" s="320"/>
      <c r="I11" s="255">
        <f t="shared" si="1"/>
        <v>15.312507729477602</v>
      </c>
      <c r="J11" s="251">
        <f t="shared" si="0"/>
        <v>4.5461568984918752E-2</v>
      </c>
    </row>
    <row r="12" spans="1:10">
      <c r="B12" s="254"/>
      <c r="I12" s="255">
        <f t="shared" si="1"/>
        <v>16.071674375532329</v>
      </c>
      <c r="J12" s="251">
        <f t="shared" si="0"/>
        <v>4.3783213870803792E-2</v>
      </c>
    </row>
    <row r="13" spans="1:10">
      <c r="I13" s="255">
        <f t="shared" si="1"/>
        <v>16.830841021587055</v>
      </c>
      <c r="J13" s="251">
        <f t="shared" si="0"/>
        <v>4.2315940575005241E-2</v>
      </c>
    </row>
    <row r="14" spans="1:10">
      <c r="I14" s="255">
        <f t="shared" si="1"/>
        <v>17.590007667641782</v>
      </c>
      <c r="J14" s="251">
        <f t="shared" si="0"/>
        <v>4.1015874401776765E-2</v>
      </c>
    </row>
    <row r="15" spans="1:10">
      <c r="I15" s="255">
        <f t="shared" si="1"/>
        <v>18.349174313696508</v>
      </c>
      <c r="J15" s="251">
        <f t="shared" si="0"/>
        <v>3.9851361133714625E-2</v>
      </c>
    </row>
    <row r="16" spans="1:10">
      <c r="I16" s="255">
        <f t="shared" si="1"/>
        <v>19.108340959751235</v>
      </c>
      <c r="J16" s="251">
        <f t="shared" si="0"/>
        <v>3.8798826780423228E-2</v>
      </c>
    </row>
    <row r="17" spans="9:10">
      <c r="I17" s="255">
        <f t="shared" si="1"/>
        <v>19.867507605805962</v>
      </c>
      <c r="J17" s="251">
        <f t="shared" si="0"/>
        <v>3.784025356793555E-2</v>
      </c>
    </row>
    <row r="18" spans="9:10">
      <c r="I18" s="255">
        <f t="shared" si="1"/>
        <v>20.626674251860688</v>
      </c>
      <c r="J18" s="251">
        <f t="shared" si="0"/>
        <v>3.696156937254954E-2</v>
      </c>
    </row>
    <row r="19" spans="9:10">
      <c r="I19" s="255">
        <f t="shared" si="1"/>
        <v>21.385840897915415</v>
      </c>
      <c r="J19" s="251">
        <f t="shared" si="0"/>
        <v>3.6151580555523463E-2</v>
      </c>
    </row>
    <row r="20" spans="9:10">
      <c r="I20" s="255">
        <f t="shared" si="1"/>
        <v>22.145007543970141</v>
      </c>
      <c r="J20" s="251">
        <f t="shared" si="0"/>
        <v>3.5401242100010791E-2</v>
      </c>
    </row>
    <row r="21" spans="9:10">
      <c r="I21" s="255">
        <f t="shared" si="1"/>
        <v>22.904174190024868</v>
      </c>
      <c r="J21" s="251">
        <f t="shared" si="0"/>
        <v>3.4703144765551086E-2</v>
      </c>
    </row>
    <row r="22" spans="9:10">
      <c r="I22" s="255">
        <f t="shared" si="1"/>
        <v>23.663340836079595</v>
      </c>
      <c r="J22" s="251">
        <f t="shared" si="0"/>
        <v>3.4051146222813196E-2</v>
      </c>
    </row>
    <row r="23" spans="9:10">
      <c r="I23" s="255">
        <f t="shared" si="1"/>
        <v>24.422507482134321</v>
      </c>
      <c r="J23" s="251">
        <f t="shared" si="0"/>
        <v>3.3440100286291949E-2</v>
      </c>
    </row>
    <row r="24" spans="9:10">
      <c r="I24" s="255">
        <f t="shared" si="1"/>
        <v>25.181674128189048</v>
      </c>
      <c r="J24" s="251">
        <f t="shared" si="0"/>
        <v>3.2865654557634467E-2</v>
      </c>
    </row>
    <row r="25" spans="9:10">
      <c r="I25" s="255">
        <f t="shared" si="1"/>
        <v>25.940840774243775</v>
      </c>
      <c r="J25" s="251">
        <f t="shared" si="0"/>
        <v>3.2324096766821971E-2</v>
      </c>
    </row>
    <row r="26" spans="9:10">
      <c r="I26" s="255">
        <f t="shared" si="1"/>
        <v>26.700007420298501</v>
      </c>
      <c r="J26" s="251">
        <f t="shared" si="0"/>
        <v>3.1812236418180331E-2</v>
      </c>
    </row>
    <row r="27" spans="9:10">
      <c r="I27" s="255">
        <f t="shared" si="1"/>
        <v>27.459174066353228</v>
      </c>
      <c r="J27" s="251">
        <f t="shared" si="0"/>
        <v>3.132731245405973E-2</v>
      </c>
    </row>
    <row r="28" spans="9:10">
      <c r="I28" s="255">
        <f t="shared" si="1"/>
        <v>28.218340712407954</v>
      </c>
      <c r="J28" s="251">
        <f t="shared" si="0"/>
        <v>3.0866920377014488E-2</v>
      </c>
    </row>
    <row r="29" spans="9:10">
      <c r="I29" s="255">
        <f t="shared" si="1"/>
        <v>28.977507358462681</v>
      </c>
      <c r="J29" s="251">
        <f t="shared" si="0"/>
        <v>3.0428954120705027E-2</v>
      </c>
    </row>
    <row r="30" spans="9:10">
      <c r="I30" s="255">
        <f t="shared" si="1"/>
        <v>29.736674004517408</v>
      </c>
      <c r="J30" s="251">
        <f t="shared" si="0"/>
        <v>3.0011559236540326E-2</v>
      </c>
    </row>
    <row r="31" spans="9:10">
      <c r="I31" s="255">
        <f t="shared" si="1"/>
        <v>30.495840650572134</v>
      </c>
      <c r="J31" s="251">
        <f t="shared" si="0"/>
        <v>2.9613094859266022E-2</v>
      </c>
    </row>
    <row r="32" spans="9:10">
      <c r="I32" s="255">
        <f t="shared" si="1"/>
        <v>31.255007296626861</v>
      </c>
      <c r="J32" s="251">
        <f t="shared" si="0"/>
        <v>2.9232102553309335E-2</v>
      </c>
    </row>
    <row r="33" spans="9:10">
      <c r="I33" s="255">
        <f t="shared" si="1"/>
        <v>32.014173942681587</v>
      </c>
      <c r="J33" s="251">
        <f t="shared" si="0"/>
        <v>2.886728060309076E-2</v>
      </c>
    </row>
    <row r="34" spans="9:10">
      <c r="I34" s="255">
        <f t="shared" si="1"/>
        <v>32.773340588736311</v>
      </c>
      <c r="J34" s="251">
        <f t="shared" si="0"/>
        <v>2.851746264814959E-2</v>
      </c>
    </row>
    <row r="35" spans="9:10">
      <c r="I35" s="255">
        <f t="shared" si="1"/>
        <v>33.532507234791034</v>
      </c>
      <c r="J35" s="251">
        <f t="shared" si="0"/>
        <v>2.8181599813923226E-2</v>
      </c>
    </row>
    <row r="36" spans="9:10">
      <c r="I36" s="255">
        <f t="shared" si="1"/>
        <v>34.291673880845757</v>
      </c>
      <c r="J36" s="251">
        <f t="shared" si="0"/>
        <v>2.785874567614589E-2</v>
      </c>
    </row>
    <row r="37" spans="9:10">
      <c r="I37" s="255">
        <f t="shared" si="1"/>
        <v>35.05084052690048</v>
      </c>
      <c r="J37" s="251">
        <f t="shared" si="0"/>
        <v>2.7548043538323973E-2</v>
      </c>
    </row>
    <row r="38" spans="9:10">
      <c r="I38" s="255">
        <f t="shared" si="1"/>
        <v>35.810007172955203</v>
      </c>
      <c r="J38" s="251">
        <f t="shared" si="0"/>
        <v>2.7248715609743884E-2</v>
      </c>
    </row>
    <row r="39" spans="9:10">
      <c r="I39" s="255">
        <f t="shared" si="1"/>
        <v>36.569173819009926</v>
      </c>
      <c r="J39" s="251">
        <f t="shared" si="0"/>
        <v>2.6960053754630176E-2</v>
      </c>
    </row>
    <row r="40" spans="9:10">
      <c r="I40" s="255">
        <f t="shared" si="1"/>
        <v>37.328340465064649</v>
      </c>
      <c r="J40" s="251">
        <f t="shared" si="0"/>
        <v>2.6681411547638333E-2</v>
      </c>
    </row>
    <row r="41" spans="9:10">
      <c r="I41" s="255">
        <f t="shared" si="1"/>
        <v>38.087507111119372</v>
      </c>
      <c r="J41" s="251">
        <f t="shared" si="0"/>
        <v>2.6412197421383784E-2</v>
      </c>
    </row>
    <row r="42" spans="9:10">
      <c r="I42" s="255">
        <f t="shared" si="1"/>
        <v>38.846673757174095</v>
      </c>
      <c r="J42" s="251">
        <f t="shared" si="0"/>
        <v>2.6151868731522501E-2</v>
      </c>
    </row>
    <row r="43" spans="9:10">
      <c r="I43" s="255">
        <f t="shared" si="1"/>
        <v>39.605840403228818</v>
      </c>
      <c r="J43" s="251">
        <f t="shared" si="0"/>
        <v>2.5899926596490264E-2</v>
      </c>
    </row>
    <row r="44" spans="9:10">
      <c r="I44" s="255">
        <f t="shared" si="1"/>
        <v>40.365007049283541</v>
      </c>
      <c r="J44" s="251">
        <f t="shared" si="0"/>
        <v>2.5655911394239544E-2</v>
      </c>
    </row>
    <row r="45" spans="9:10">
      <c r="I45" s="255">
        <f t="shared" si="1"/>
        <v>41.124173695338264</v>
      </c>
      <c r="J45" s="251">
        <f t="shared" si="0"/>
        <v>2.5419398818586122E-2</v>
      </c>
    </row>
    <row r="46" spans="9:10">
      <c r="I46" s="255">
        <f t="shared" si="1"/>
        <v>41.883340341392987</v>
      </c>
      <c r="J46" s="251">
        <f t="shared" si="0"/>
        <v>2.5189996414163175E-2</v>
      </c>
    </row>
    <row r="47" spans="9:10">
      <c r="I47" s="255">
        <f t="shared" si="1"/>
        <v>42.64250698744771</v>
      </c>
      <c r="J47" s="251">
        <f t="shared" si="0"/>
        <v>2.4967340522294247E-2</v>
      </c>
    </row>
    <row r="48" spans="9:10">
      <c r="I48" s="255">
        <f t="shared" si="1"/>
        <v>43.401673633502433</v>
      </c>
      <c r="J48" s="251">
        <f t="shared" si="0"/>
        <v>2.4751093580972702E-2</v>
      </c>
    </row>
    <row r="49" spans="9:10">
      <c r="I49" s="255">
        <f t="shared" si="1"/>
        <v>44.160840279557156</v>
      </c>
      <c r="J49" s="251">
        <f t="shared" si="0"/>
        <v>2.4540941731062402E-2</v>
      </c>
    </row>
    <row r="50" spans="9:10">
      <c r="I50" s="255">
        <f t="shared" si="1"/>
        <v>44.920006925611879</v>
      </c>
      <c r="J50" s="251">
        <f t="shared" si="0"/>
        <v>2.4336592688197361E-2</v>
      </c>
    </row>
    <row r="51" spans="9:10">
      <c r="I51" s="255">
        <f t="shared" si="1"/>
        <v>45.679173571666603</v>
      </c>
      <c r="J51" s="251">
        <f t="shared" si="0"/>
        <v>2.4137773845957656E-2</v>
      </c>
    </row>
    <row r="52" spans="9:10">
      <c r="I52" s="255">
        <f t="shared" si="1"/>
        <v>46.438340217721326</v>
      </c>
      <c r="J52" s="251">
        <f t="shared" si="0"/>
        <v>2.3944230580973593E-2</v>
      </c>
    </row>
    <row r="53" spans="9:10">
      <c r="I53" s="255">
        <f t="shared" si="1"/>
        <v>47.197506863776049</v>
      </c>
      <c r="J53" s="251">
        <f t="shared" si="0"/>
        <v>2.3755724734849531E-2</v>
      </c>
    </row>
    <row r="54" spans="9:10">
      <c r="I54" s="255">
        <f t="shared" si="1"/>
        <v>47.956673509830772</v>
      </c>
      <c r="J54" s="251">
        <f t="shared" si="0"/>
        <v>2.3572033251353864E-2</v>
      </c>
    </row>
    <row r="55" spans="9:10">
      <c r="I55" s="255">
        <f t="shared" si="1"/>
        <v>48.715840155885495</v>
      </c>
      <c r="J55" s="251">
        <f t="shared" si="0"/>
        <v>2.3392946950314554E-2</v>
      </c>
    </row>
    <row r="56" spans="9:10">
      <c r="I56" s="255">
        <f t="shared" si="1"/>
        <v>49.475006801940218</v>
      </c>
      <c r="J56" s="251">
        <f t="shared" si="0"/>
        <v>2.321826942218767E-2</v>
      </c>
    </row>
    <row r="57" spans="9:10">
      <c r="I57" s="255">
        <f t="shared" si="1"/>
        <v>50.234173447994941</v>
      </c>
      <c r="J57" s="251">
        <f t="shared" si="0"/>
        <v>2.3047816029409685E-2</v>
      </c>
    </row>
    <row r="58" spans="9:10">
      <c r="I58" s="255">
        <f t="shared" si="1"/>
        <v>50.993340094049664</v>
      </c>
      <c r="J58" s="251">
        <f t="shared" si="0"/>
        <v>2.2881413002466773E-2</v>
      </c>
    </row>
    <row r="59" spans="9:10">
      <c r="I59" s="255">
        <f t="shared" si="1"/>
        <v>51.752506740104387</v>
      </c>
      <c r="J59" s="251">
        <f t="shared" si="0"/>
        <v>2.2718896620169692E-2</v>
      </c>
    </row>
    <row r="60" spans="9:10">
      <c r="I60" s="255">
        <f t="shared" si="1"/>
        <v>52.51167338615911</v>
      </c>
      <c r="J60" s="251">
        <f t="shared" si="0"/>
        <v>2.2560112464953316E-2</v>
      </c>
    </row>
    <row r="61" spans="9:10">
      <c r="I61" s="255">
        <f t="shared" si="1"/>
        <v>53.270840032213833</v>
      </c>
      <c r="J61" s="251">
        <f t="shared" si="0"/>
        <v>2.2404914745162395E-2</v>
      </c>
    </row>
    <row r="62" spans="9:10">
      <c r="I62" s="255">
        <f t="shared" si="1"/>
        <v>54.030006678268556</v>
      </c>
      <c r="J62" s="251">
        <f t="shared" si="0"/>
        <v>2.2253165677267844E-2</v>
      </c>
    </row>
    <row r="63" spans="9:10">
      <c r="I63" s="255">
        <f t="shared" si="1"/>
        <v>54.789173324323279</v>
      </c>
      <c r="J63" s="251">
        <f t="shared" si="0"/>
        <v>2.2104734921806576E-2</v>
      </c>
    </row>
    <row r="64" spans="9:10">
      <c r="I64" s="255">
        <f t="shared" si="1"/>
        <v>55.548339970378002</v>
      </c>
      <c r="J64" s="251">
        <f t="shared" si="0"/>
        <v>2.1959499067571733E-2</v>
      </c>
    </row>
    <row r="65" spans="9:10">
      <c r="I65" s="255">
        <f t="shared" si="1"/>
        <v>56.307506616432725</v>
      </c>
      <c r="J65" s="251">
        <f t="shared" si="0"/>
        <v>2.1817341159217251E-2</v>
      </c>
    </row>
    <row r="66" spans="9:10">
      <c r="I66" s="255">
        <f t="shared" si="1"/>
        <v>57.066673262487448</v>
      </c>
      <c r="J66" s="251">
        <f t="shared" si="0"/>
        <v>2.1678150263994174E-2</v>
      </c>
    </row>
    <row r="67" spans="9:10">
      <c r="I67" s="255">
        <f t="shared" si="1"/>
        <v>57.825839908542171</v>
      </c>
      <c r="J67" s="251">
        <f t="shared" si="0"/>
        <v>2.15418210738192E-2</v>
      </c>
    </row>
    <row r="68" spans="9:10">
      <c r="I68" s="255">
        <f t="shared" si="1"/>
        <v>58.585006554596895</v>
      </c>
      <c r="J68" s="251">
        <f t="shared" si="0"/>
        <v>2.1408253539297113E-2</v>
      </c>
    </row>
    <row r="69" spans="9:10">
      <c r="I69" s="255">
        <f t="shared" si="1"/>
        <v>59.344173200651618</v>
      </c>
      <c r="J69" s="251">
        <f t="shared" ref="J69:J132" si="2">1/(POWER($G$4*I69+$G$5,1/2)+$G$6)</f>
        <v>2.1277352532688462E-2</v>
      </c>
    </row>
    <row r="70" spans="9:10">
      <c r="I70" s="255">
        <f t="shared" ref="I70:I133" si="3">I69+($I$386-$I$4)/382</f>
        <v>60.103339846706341</v>
      </c>
      <c r="J70" s="251">
        <f t="shared" si="2"/>
        <v>2.114902753713745E-2</v>
      </c>
    </row>
    <row r="71" spans="9:10">
      <c r="I71" s="255">
        <f t="shared" si="3"/>
        <v>60.862506492761064</v>
      </c>
      <c r="J71" s="251">
        <f t="shared" si="2"/>
        <v>2.1023192359759836E-2</v>
      </c>
    </row>
    <row r="72" spans="9:10">
      <c r="I72" s="255">
        <f t="shared" si="3"/>
        <v>61.621673138815787</v>
      </c>
      <c r="J72" s="251">
        <f t="shared" si="2"/>
        <v>2.0899764866441701E-2</v>
      </c>
    </row>
    <row r="73" spans="9:10">
      <c r="I73" s="255">
        <f t="shared" si="3"/>
        <v>62.38083978487051</v>
      </c>
      <c r="J73" s="251">
        <f t="shared" si="2"/>
        <v>2.0778666736421297E-2</v>
      </c>
    </row>
    <row r="74" spans="9:10">
      <c r="I74" s="255">
        <f t="shared" si="3"/>
        <v>63.140006430925233</v>
      </c>
      <c r="J74" s="251">
        <f t="shared" si="2"/>
        <v>2.0659823234921909E-2</v>
      </c>
    </row>
    <row r="75" spans="9:10">
      <c r="I75" s="255">
        <f t="shared" si="3"/>
        <v>63.899173076979956</v>
      </c>
      <c r="J75" s="251">
        <f t="shared" si="2"/>
        <v>2.0543163002277501E-2</v>
      </c>
    </row>
    <row r="76" spans="9:10">
      <c r="I76" s="255">
        <f t="shared" si="3"/>
        <v>64.658339723034686</v>
      </c>
      <c r="J76" s="251">
        <f t="shared" si="2"/>
        <v>2.042861785814654E-2</v>
      </c>
    </row>
    <row r="77" spans="9:10">
      <c r="I77" s="255">
        <f t="shared" si="3"/>
        <v>65.417506369089409</v>
      </c>
      <c r="J77" s="251">
        <f t="shared" si="2"/>
        <v>2.031612261954651E-2</v>
      </c>
    </row>
    <row r="78" spans="9:10">
      <c r="I78" s="255">
        <f t="shared" si="3"/>
        <v>66.176673015144132</v>
      </c>
      <c r="J78" s="251">
        <f t="shared" si="2"/>
        <v>2.0205614931563497E-2</v>
      </c>
    </row>
    <row r="79" spans="9:10">
      <c r="I79" s="255">
        <f t="shared" si="3"/>
        <v>66.935839661198855</v>
      </c>
      <c r="J79" s="251">
        <f t="shared" si="2"/>
        <v>2.0097035109699901E-2</v>
      </c>
    </row>
    <row r="80" spans="9:10">
      <c r="I80" s="255">
        <f t="shared" si="3"/>
        <v>67.695006307253578</v>
      </c>
      <c r="J80" s="251">
        <f t="shared" si="2"/>
        <v>1.9990325992920544E-2</v>
      </c>
    </row>
    <row r="81" spans="9:10">
      <c r="I81" s="255">
        <f t="shared" si="3"/>
        <v>68.454172953308301</v>
      </c>
      <c r="J81" s="251">
        <f t="shared" si="2"/>
        <v>1.9885432806544298E-2</v>
      </c>
    </row>
    <row r="82" spans="9:10">
      <c r="I82" s="255">
        <f t="shared" si="3"/>
        <v>69.213339599363024</v>
      </c>
      <c r="J82" s="251">
        <f t="shared" si="2"/>
        <v>1.9782303034206219E-2</v>
      </c>
    </row>
    <row r="83" spans="9:10">
      <c r="I83" s="255">
        <f t="shared" si="3"/>
        <v>69.972506245417748</v>
      </c>
      <c r="J83" s="251">
        <f t="shared" si="2"/>
        <v>1.9680886298185232E-2</v>
      </c>
    </row>
    <row r="84" spans="9:10">
      <c r="I84" s="255">
        <f t="shared" si="3"/>
        <v>70.731672891472471</v>
      </c>
      <c r="J84" s="251">
        <f t="shared" si="2"/>
        <v>1.9581134247454834E-2</v>
      </c>
    </row>
    <row r="85" spans="9:10">
      <c r="I85" s="255">
        <f t="shared" si="3"/>
        <v>71.490839537527194</v>
      </c>
      <c r="J85" s="251">
        <f t="shared" si="2"/>
        <v>1.9483000452871331E-2</v>
      </c>
    </row>
    <row r="86" spans="9:10">
      <c r="I86" s="255">
        <f t="shared" si="3"/>
        <v>72.250006183581917</v>
      </c>
      <c r="J86" s="251">
        <f t="shared" si="2"/>
        <v>1.9386440308964453E-2</v>
      </c>
    </row>
    <row r="87" spans="9:10">
      <c r="I87" s="255">
        <f t="shared" si="3"/>
        <v>73.00917282963664</v>
      </c>
      <c r="J87" s="251">
        <f t="shared" si="2"/>
        <v>1.9291410941841607E-2</v>
      </c>
    </row>
    <row r="88" spans="9:10">
      <c r="I88" s="255">
        <f t="shared" si="3"/>
        <v>73.768339475691363</v>
      </c>
      <c r="J88" s="251">
        <f t="shared" si="2"/>
        <v>1.9197871122758274E-2</v>
      </c>
    </row>
    <row r="89" spans="9:10">
      <c r="I89" s="255">
        <f t="shared" si="3"/>
        <v>74.527506121746086</v>
      </c>
      <c r="J89" s="251">
        <f t="shared" si="2"/>
        <v>1.9105781186944698E-2</v>
      </c>
    </row>
    <row r="90" spans="9:10">
      <c r="I90" s="255">
        <f t="shared" si="3"/>
        <v>75.286672767800809</v>
      </c>
      <c r="J90" s="251">
        <f t="shared" si="2"/>
        <v>1.9015102957312919E-2</v>
      </c>
    </row>
    <row r="91" spans="9:10">
      <c r="I91" s="255">
        <f t="shared" si="3"/>
        <v>76.045839413855532</v>
      </c>
      <c r="J91" s="251">
        <f t="shared" si="2"/>
        <v>1.8925799672699143E-2</v>
      </c>
    </row>
    <row r="92" spans="9:10">
      <c r="I92" s="255">
        <f t="shared" si="3"/>
        <v>76.805006059910255</v>
      </c>
      <c r="J92" s="251">
        <f t="shared" si="2"/>
        <v>1.8837835920324335E-2</v>
      </c>
    </row>
    <row r="93" spans="9:10">
      <c r="I93" s="255">
        <f t="shared" si="3"/>
        <v>77.564172705964978</v>
      </c>
      <c r="J93" s="251">
        <f t="shared" si="2"/>
        <v>1.8751177572181379E-2</v>
      </c>
    </row>
    <row r="94" spans="9:10">
      <c r="I94" s="255">
        <f t="shared" si="3"/>
        <v>78.323339352019701</v>
      </c>
      <c r="J94" s="251">
        <f t="shared" si="2"/>
        <v>1.8665791725080261E-2</v>
      </c>
    </row>
    <row r="95" spans="9:10">
      <c r="I95" s="255">
        <f t="shared" si="3"/>
        <v>79.082505998074424</v>
      </c>
      <c r="J95" s="251">
        <f t="shared" si="2"/>
        <v>1.8581646644103823E-2</v>
      </c>
    </row>
    <row r="96" spans="9:10">
      <c r="I96" s="255">
        <f t="shared" si="3"/>
        <v>79.841672644129147</v>
      </c>
      <c r="J96" s="251">
        <f t="shared" si="2"/>
        <v>1.849871170924584E-2</v>
      </c>
    </row>
    <row r="97" spans="9:10">
      <c r="I97" s="255">
        <f t="shared" si="3"/>
        <v>80.60083929018387</v>
      </c>
      <c r="J97" s="251">
        <f t="shared" si="2"/>
        <v>1.8416957365020616E-2</v>
      </c>
    </row>
    <row r="98" spans="9:10">
      <c r="I98" s="255">
        <f t="shared" si="3"/>
        <v>81.360005936238593</v>
      </c>
      <c r="J98" s="251">
        <f t="shared" si="2"/>
        <v>1.8336355072849503E-2</v>
      </c>
    </row>
    <row r="99" spans="9:10">
      <c r="I99" s="255">
        <f t="shared" si="3"/>
        <v>82.119172582293317</v>
      </c>
      <c r="J99" s="251">
        <f t="shared" si="2"/>
        <v>1.8256877266044146E-2</v>
      </c>
    </row>
    <row r="100" spans="9:10">
      <c r="I100" s="255">
        <f t="shared" si="3"/>
        <v>82.87833922834804</v>
      </c>
      <c r="J100" s="251">
        <f t="shared" si="2"/>
        <v>1.8178497307219821E-2</v>
      </c>
    </row>
    <row r="101" spans="9:10">
      <c r="I101" s="255">
        <f t="shared" si="3"/>
        <v>83.637505874402763</v>
      </c>
      <c r="J101" s="251">
        <f t="shared" si="2"/>
        <v>1.8101189447984483E-2</v>
      </c>
    </row>
    <row r="102" spans="9:10">
      <c r="I102" s="255">
        <f t="shared" si="3"/>
        <v>84.396672520457486</v>
      </c>
      <c r="J102" s="251">
        <f t="shared" si="2"/>
        <v>1.802492879076039E-2</v>
      </c>
    </row>
    <row r="103" spans="9:10">
      <c r="I103" s="255">
        <f t="shared" si="3"/>
        <v>85.155839166512209</v>
      </c>
      <c r="J103" s="251">
        <f t="shared" si="2"/>
        <v>1.7949691252605413E-2</v>
      </c>
    </row>
    <row r="104" spans="9:10">
      <c r="I104" s="255">
        <f t="shared" si="3"/>
        <v>85.915005812566932</v>
      </c>
      <c r="J104" s="251">
        <f t="shared" si="2"/>
        <v>1.7875453530910849E-2</v>
      </c>
    </row>
    <row r="105" spans="9:10">
      <c r="I105" s="255">
        <f t="shared" si="3"/>
        <v>86.674172458621655</v>
      </c>
      <c r="J105" s="251">
        <f t="shared" si="2"/>
        <v>1.7802193070861082E-2</v>
      </c>
    </row>
    <row r="106" spans="9:10">
      <c r="I106" s="255">
        <f t="shared" si="3"/>
        <v>87.433339104676378</v>
      </c>
      <c r="J106" s="251">
        <f t="shared" si="2"/>
        <v>1.772988803454853E-2</v>
      </c>
    </row>
    <row r="107" spans="9:10">
      <c r="I107" s="255">
        <f t="shared" si="3"/>
        <v>88.192505750731101</v>
      </c>
      <c r="J107" s="251">
        <f t="shared" si="2"/>
        <v>1.7658517271644757E-2</v>
      </c>
    </row>
    <row r="108" spans="9:10">
      <c r="I108" s="255">
        <f t="shared" si="3"/>
        <v>88.951672396785824</v>
      </c>
      <c r="J108" s="251">
        <f t="shared" si="2"/>
        <v>1.7588060291535465E-2</v>
      </c>
    </row>
    <row r="109" spans="9:10">
      <c r="I109" s="255">
        <f t="shared" si="3"/>
        <v>89.710839042840547</v>
      </c>
      <c r="J109" s="251">
        <f t="shared" si="2"/>
        <v>1.75184972368332E-2</v>
      </c>
    </row>
    <row r="110" spans="9:10">
      <c r="I110" s="255">
        <f t="shared" si="3"/>
        <v>90.47000568889527</v>
      </c>
      <c r="J110" s="251">
        <f t="shared" si="2"/>
        <v>1.7449808858187702E-2</v>
      </c>
    </row>
    <row r="111" spans="9:10">
      <c r="I111" s="255">
        <f t="shared" si="3"/>
        <v>91.229172334949993</v>
      </c>
      <c r="J111" s="251">
        <f t="shared" si="2"/>
        <v>1.738197649031889E-2</v>
      </c>
    </row>
    <row r="112" spans="9:10">
      <c r="I112" s="255">
        <f t="shared" si="3"/>
        <v>91.988338981004716</v>
      </c>
      <c r="J112" s="251">
        <f t="shared" si="2"/>
        <v>1.7314982029202654E-2</v>
      </c>
    </row>
    <row r="113" spans="9:10">
      <c r="I113" s="255">
        <f t="shared" si="3"/>
        <v>92.747505627059439</v>
      </c>
      <c r="J113" s="251">
        <f t="shared" si="2"/>
        <v>1.7248807910344159E-2</v>
      </c>
    </row>
    <row r="114" spans="9:10">
      <c r="I114" s="255">
        <f t="shared" si="3"/>
        <v>93.506672273114162</v>
      </c>
      <c r="J114" s="251">
        <f t="shared" si="2"/>
        <v>1.7183437088077524E-2</v>
      </c>
    </row>
    <row r="115" spans="9:10">
      <c r="I115" s="255">
        <f t="shared" si="3"/>
        <v>94.265838919168885</v>
      </c>
      <c r="J115" s="251">
        <f t="shared" si="2"/>
        <v>1.7118853015834812E-2</v>
      </c>
    </row>
    <row r="116" spans="9:10">
      <c r="I116" s="255">
        <f t="shared" si="3"/>
        <v>95.025005565223609</v>
      </c>
      <c r="J116" s="251">
        <f t="shared" si="2"/>
        <v>1.7055039627330858E-2</v>
      </c>
    </row>
    <row r="117" spans="9:10">
      <c r="I117" s="255">
        <f t="shared" si="3"/>
        <v>95.784172211278332</v>
      </c>
      <c r="J117" s="251">
        <f t="shared" si="2"/>
        <v>1.6991981318613802E-2</v>
      </c>
    </row>
    <row r="118" spans="9:10">
      <c r="I118" s="255">
        <f t="shared" si="3"/>
        <v>96.543338857333055</v>
      </c>
      <c r="J118" s="251">
        <f t="shared" si="2"/>
        <v>1.6929662930934467E-2</v>
      </c>
    </row>
    <row r="119" spans="9:10">
      <c r="I119" s="255">
        <f t="shared" si="3"/>
        <v>97.302505503387778</v>
      </c>
      <c r="J119" s="251">
        <f t="shared" si="2"/>
        <v>1.6868069734390506E-2</v>
      </c>
    </row>
    <row r="120" spans="9:10">
      <c r="I120" s="255">
        <f t="shared" si="3"/>
        <v>98.061672149442501</v>
      </c>
      <c r="J120" s="251">
        <f t="shared" si="2"/>
        <v>1.680718741230406E-2</v>
      </c>
    </row>
    <row r="121" spans="9:10">
      <c r="I121" s="255">
        <f t="shared" si="3"/>
        <v>98.820838795497224</v>
      </c>
      <c r="J121" s="251">
        <f t="shared" si="2"/>
        <v>1.6747002046294146E-2</v>
      </c>
    </row>
    <row r="122" spans="9:10">
      <c r="I122" s="255">
        <f t="shared" si="3"/>
        <v>99.580005441551947</v>
      </c>
      <c r="J122" s="251">
        <f t="shared" si="2"/>
        <v>1.668750010200739E-2</v>
      </c>
    </row>
    <row r="123" spans="9:10">
      <c r="I123" s="255">
        <f t="shared" si="3"/>
        <v>100.33917208760667</v>
      </c>
      <c r="J123" s="251">
        <f t="shared" si="2"/>
        <v>1.6628668415472874E-2</v>
      </c>
    </row>
    <row r="124" spans="9:10">
      <c r="I124" s="255">
        <f t="shared" si="3"/>
        <v>101.09833873366139</v>
      </c>
      <c r="J124" s="251">
        <f t="shared" si="2"/>
        <v>1.6570494180048884E-2</v>
      </c>
    </row>
    <row r="125" spans="9:10">
      <c r="I125" s="255">
        <f t="shared" si="3"/>
        <v>101.85750537971612</v>
      </c>
      <c r="J125" s="251">
        <f t="shared" si="2"/>
        <v>1.6512964933931392E-2</v>
      </c>
    </row>
    <row r="126" spans="9:10">
      <c r="I126" s="255">
        <f t="shared" si="3"/>
        <v>102.61667202577084</v>
      </c>
      <c r="J126" s="251">
        <f t="shared" si="2"/>
        <v>1.6456068548195684E-2</v>
      </c>
    </row>
    <row r="127" spans="9:10">
      <c r="I127" s="255">
        <f t="shared" si="3"/>
        <v>103.37583867182556</v>
      </c>
      <c r="J127" s="251">
        <f t="shared" si="2"/>
        <v>1.6399793215344356E-2</v>
      </c>
    </row>
    <row r="128" spans="9:10">
      <c r="I128" s="255">
        <f t="shared" si="3"/>
        <v>104.13500531788029</v>
      </c>
      <c r="J128" s="251">
        <f t="shared" si="2"/>
        <v>1.6344127438336423E-2</v>
      </c>
    </row>
    <row r="129" spans="9:10">
      <c r="I129" s="255">
        <f t="shared" si="3"/>
        <v>104.89417196393501</v>
      </c>
      <c r="J129" s="251">
        <f t="shared" si="2"/>
        <v>1.6289060020073642E-2</v>
      </c>
    </row>
    <row r="130" spans="9:10">
      <c r="I130" s="255">
        <f t="shared" si="3"/>
        <v>105.65333860998973</v>
      </c>
      <c r="J130" s="251">
        <f t="shared" si="2"/>
        <v>1.6234580053321682E-2</v>
      </c>
    </row>
    <row r="131" spans="9:10">
      <c r="I131" s="255">
        <f t="shared" si="3"/>
        <v>106.41250525604445</v>
      </c>
      <c r="J131" s="251">
        <f t="shared" si="2"/>
        <v>1.6180676911044863E-2</v>
      </c>
    </row>
    <row r="132" spans="9:10">
      <c r="I132" s="255">
        <f t="shared" si="3"/>
        <v>107.17167190209918</v>
      </c>
      <c r="J132" s="251">
        <f t="shared" si="2"/>
        <v>1.6127340237134472E-2</v>
      </c>
    </row>
    <row r="133" spans="9:10">
      <c r="I133" s="255">
        <f t="shared" si="3"/>
        <v>107.9308385481539</v>
      </c>
      <c r="J133" s="251">
        <f t="shared" ref="J133:J196" si="4">1/(POWER($G$4*I133+$G$5,1/2)+$G$6)</f>
        <v>1.6074559937511803E-2</v>
      </c>
    </row>
    <row r="134" spans="9:10">
      <c r="I134" s="255">
        <f t="shared" ref="I134:I197" si="5">I133+($I$386-$I$4)/382</f>
        <v>108.69000519420862</v>
      </c>
      <c r="J134" s="251">
        <f t="shared" si="4"/>
        <v>1.6022326171587994E-2</v>
      </c>
    </row>
    <row r="135" spans="9:10">
      <c r="I135" s="255">
        <f t="shared" si="5"/>
        <v>109.44917184026335</v>
      </c>
      <c r="J135" s="251">
        <f t="shared" si="4"/>
        <v>1.5970629344063864E-2</v>
      </c>
    </row>
    <row r="136" spans="9:10">
      <c r="I136" s="255">
        <f t="shared" si="5"/>
        <v>110.20833848631807</v>
      </c>
      <c r="J136" s="251">
        <f t="shared" si="4"/>
        <v>1.5919460097053716E-2</v>
      </c>
    </row>
    <row r="137" spans="9:10">
      <c r="I137" s="255">
        <f t="shared" si="5"/>
        <v>110.96750513237279</v>
      </c>
      <c r="J137" s="251">
        <f t="shared" si="4"/>
        <v>1.5868809302518071E-2</v>
      </c>
    </row>
    <row r="138" spans="9:10">
      <c r="I138" s="255">
        <f t="shared" si="5"/>
        <v>111.72667177842752</v>
      </c>
      <c r="J138" s="251">
        <f t="shared" si="4"/>
        <v>1.5818668054991016E-2</v>
      </c>
    </row>
    <row r="139" spans="9:10">
      <c r="I139" s="255">
        <f t="shared" si="5"/>
        <v>112.48583842448224</v>
      </c>
      <c r="J139" s="251">
        <f t="shared" si="4"/>
        <v>1.5769027664588656E-2</v>
      </c>
    </row>
    <row r="140" spans="9:10">
      <c r="I140" s="255">
        <f t="shared" si="5"/>
        <v>113.24500507053696</v>
      </c>
      <c r="J140" s="251">
        <f t="shared" si="4"/>
        <v>1.571987965028581E-2</v>
      </c>
    </row>
    <row r="141" spans="9:10">
      <c r="I141" s="255">
        <f t="shared" si="5"/>
        <v>114.00417171659169</v>
      </c>
      <c r="J141" s="251">
        <f t="shared" si="4"/>
        <v>1.5671215733448915E-2</v>
      </c>
    </row>
    <row r="142" spans="9:10">
      <c r="I142" s="255">
        <f t="shared" si="5"/>
        <v>114.76333836264641</v>
      </c>
      <c r="J142" s="251">
        <f t="shared" si="4"/>
        <v>1.5623027831613465E-2</v>
      </c>
    </row>
    <row r="143" spans="9:10">
      <c r="I143" s="255">
        <f t="shared" si="5"/>
        <v>115.52250500870113</v>
      </c>
      <c r="J143" s="251">
        <f t="shared" si="4"/>
        <v>1.5575308052495265E-2</v>
      </c>
    </row>
    <row r="144" spans="9:10">
      <c r="I144" s="255">
        <f t="shared" si="5"/>
        <v>116.28167165475585</v>
      </c>
      <c r="J144" s="251">
        <f t="shared" si="4"/>
        <v>1.552804868822498E-2</v>
      </c>
    </row>
    <row r="145" spans="9:10">
      <c r="I145" s="255">
        <f t="shared" si="5"/>
        <v>117.04083830081058</v>
      </c>
      <c r="J145" s="251">
        <f t="shared" si="4"/>
        <v>1.5481242209796242E-2</v>
      </c>
    </row>
    <row r="146" spans="9:10">
      <c r="I146" s="255">
        <f t="shared" si="5"/>
        <v>117.8000049468653</v>
      </c>
      <c r="J146" s="251">
        <f t="shared" si="4"/>
        <v>1.5434881261717989E-2</v>
      </c>
    </row>
    <row r="147" spans="9:10">
      <c r="I147" s="255">
        <f t="shared" si="5"/>
        <v>118.55917159292002</v>
      </c>
      <c r="J147" s="251">
        <f t="shared" si="4"/>
        <v>1.5388958656862087E-2</v>
      </c>
    </row>
    <row r="148" spans="9:10">
      <c r="I148" s="255">
        <f t="shared" si="5"/>
        <v>119.31833823897475</v>
      </c>
      <c r="J148" s="251">
        <f t="shared" si="4"/>
        <v>1.534346737149796E-2</v>
      </c>
    </row>
    <row r="149" spans="9:10">
      <c r="I149" s="255">
        <f t="shared" si="5"/>
        <v>120.07750488502947</v>
      </c>
      <c r="J149" s="251">
        <f t="shared" si="4"/>
        <v>1.5298400540506091E-2</v>
      </c>
    </row>
    <row r="150" spans="9:10">
      <c r="I150" s="255">
        <f t="shared" si="5"/>
        <v>120.83667153108419</v>
      </c>
      <c r="J150" s="251">
        <f t="shared" si="4"/>
        <v>1.525375145276288E-2</v>
      </c>
    </row>
    <row r="151" spans="9:10">
      <c r="I151" s="255">
        <f t="shared" si="5"/>
        <v>121.59583817713892</v>
      </c>
      <c r="J151" s="251">
        <f t="shared" si="4"/>
        <v>1.5209513546689559E-2</v>
      </c>
    </row>
    <row r="152" spans="9:10">
      <c r="I152" s="255">
        <f t="shared" si="5"/>
        <v>122.35500482319364</v>
      </c>
      <c r="J152" s="251">
        <f t="shared" si="4"/>
        <v>1.5165680405958349E-2</v>
      </c>
    </row>
    <row r="153" spans="9:10">
      <c r="I153" s="255">
        <f t="shared" si="5"/>
        <v>123.11417146924836</v>
      </c>
      <c r="J153" s="251">
        <f t="shared" si="4"/>
        <v>1.5122245755349243E-2</v>
      </c>
    </row>
    <row r="154" spans="9:10">
      <c r="I154" s="255">
        <f t="shared" si="5"/>
        <v>123.87333811530308</v>
      </c>
      <c r="J154" s="251">
        <f t="shared" si="4"/>
        <v>1.507920345675122E-2</v>
      </c>
    </row>
    <row r="155" spans="9:10">
      <c r="I155" s="255">
        <f t="shared" si="5"/>
        <v>124.63250476135781</v>
      </c>
      <c r="J155" s="251">
        <f t="shared" si="4"/>
        <v>1.5036547505301947E-2</v>
      </c>
    </row>
    <row r="156" spans="9:10">
      <c r="I156" s="255">
        <f t="shared" si="5"/>
        <v>125.39167140741253</v>
      </c>
      <c r="J156" s="251">
        <f t="shared" si="4"/>
        <v>1.4994272025660272E-2</v>
      </c>
    </row>
    <row r="157" spans="9:10">
      <c r="I157" s="255">
        <f t="shared" si="5"/>
        <v>126.15083805346725</v>
      </c>
      <c r="J157" s="251">
        <f t="shared" si="4"/>
        <v>1.4952371268406182E-2</v>
      </c>
    </row>
    <row r="158" spans="9:10">
      <c r="I158" s="255">
        <f t="shared" si="5"/>
        <v>126.91000469952198</v>
      </c>
      <c r="J158" s="251">
        <f t="shared" si="4"/>
        <v>1.4910839606563024E-2</v>
      </c>
    </row>
    <row r="159" spans="9:10">
      <c r="I159" s="255">
        <f t="shared" si="5"/>
        <v>127.6691713455767</v>
      </c>
      <c r="J159" s="251">
        <f t="shared" si="4"/>
        <v>1.4869671532237129E-2</v>
      </c>
    </row>
    <row r="160" spans="9:10">
      <c r="I160" s="255">
        <f t="shared" si="5"/>
        <v>128.42833799163142</v>
      </c>
      <c r="J160" s="251">
        <f t="shared" si="4"/>
        <v>1.4828861653370126E-2</v>
      </c>
    </row>
    <row r="161" spans="9:10">
      <c r="I161" s="255">
        <f t="shared" si="5"/>
        <v>129.18750463768615</v>
      </c>
      <c r="J161" s="251">
        <f t="shared" si="4"/>
        <v>1.4788404690599539E-2</v>
      </c>
    </row>
    <row r="162" spans="9:10">
      <c r="I162" s="255">
        <f t="shared" si="5"/>
        <v>129.94667128374087</v>
      </c>
      <c r="J162" s="251">
        <f t="shared" si="4"/>
        <v>1.4748295474223339E-2</v>
      </c>
    </row>
    <row r="163" spans="9:10">
      <c r="I163" s="255">
        <f t="shared" si="5"/>
        <v>130.70583792979559</v>
      </c>
      <c r="J163" s="251">
        <f t="shared" si="4"/>
        <v>1.4708528941264447E-2</v>
      </c>
    </row>
    <row r="164" spans="9:10">
      <c r="I164" s="255">
        <f t="shared" si="5"/>
        <v>131.46500457585032</v>
      </c>
      <c r="J164" s="251">
        <f t="shared" si="4"/>
        <v>1.4669100132631285E-2</v>
      </c>
    </row>
    <row r="165" spans="9:10">
      <c r="I165" s="255">
        <f t="shared" si="5"/>
        <v>132.22417122190504</v>
      </c>
      <c r="J165" s="251">
        <f t="shared" si="4"/>
        <v>1.463000419037064E-2</v>
      </c>
    </row>
    <row r="166" spans="9:10">
      <c r="I166" s="255">
        <f t="shared" si="5"/>
        <v>132.98333786795976</v>
      </c>
      <c r="J166" s="251">
        <f t="shared" si="4"/>
        <v>1.459123635500934E-2</v>
      </c>
    </row>
    <row r="167" spans="9:10">
      <c r="I167" s="255">
        <f t="shared" si="5"/>
        <v>133.74250451401448</v>
      </c>
      <c r="J167" s="251">
        <f t="shared" si="4"/>
        <v>1.4552791962981339E-2</v>
      </c>
    </row>
    <row r="168" spans="9:10">
      <c r="I168" s="255">
        <f t="shared" si="5"/>
        <v>134.50167116006921</v>
      </c>
      <c r="J168" s="251">
        <f t="shared" si="4"/>
        <v>1.4514666444136947E-2</v>
      </c>
    </row>
    <row r="169" spans="9:10">
      <c r="I169" s="255">
        <f t="shared" si="5"/>
        <v>135.26083780612393</v>
      </c>
      <c r="J169" s="251">
        <f t="shared" si="4"/>
        <v>1.4476855319331147E-2</v>
      </c>
    </row>
    <row r="170" spans="9:10">
      <c r="I170" s="255">
        <f t="shared" si="5"/>
        <v>136.02000445217865</v>
      </c>
      <c r="J170" s="251">
        <f t="shared" si="4"/>
        <v>1.4439354198088023E-2</v>
      </c>
    </row>
    <row r="171" spans="9:10">
      <c r="I171" s="255">
        <f t="shared" si="5"/>
        <v>136.77917109823338</v>
      </c>
      <c r="J171" s="251">
        <f t="shared" si="4"/>
        <v>1.4402158776338434E-2</v>
      </c>
    </row>
    <row r="172" spans="9:10">
      <c r="I172" s="255">
        <f t="shared" si="5"/>
        <v>137.5383377442881</v>
      </c>
      <c r="J172" s="251">
        <f t="shared" si="4"/>
        <v>1.4365264834228297E-2</v>
      </c>
    </row>
    <row r="173" spans="9:10">
      <c r="I173" s="255">
        <f t="shared" si="5"/>
        <v>138.29750439034282</v>
      </c>
      <c r="J173" s="251">
        <f t="shared" si="4"/>
        <v>1.4328668233994755E-2</v>
      </c>
    </row>
    <row r="174" spans="9:10">
      <c r="I174" s="255">
        <f t="shared" si="5"/>
        <v>139.05667103639755</v>
      </c>
      <c r="J174" s="251">
        <f t="shared" si="4"/>
        <v>1.4292364917907911E-2</v>
      </c>
    </row>
    <row r="175" spans="9:10">
      <c r="I175" s="255">
        <f t="shared" si="5"/>
        <v>139.81583768245227</v>
      </c>
      <c r="J175" s="251">
        <f t="shared" si="4"/>
        <v>1.4256350906275575E-2</v>
      </c>
    </row>
    <row r="176" spans="9:10">
      <c r="I176" s="255">
        <f t="shared" si="5"/>
        <v>140.57500432850699</v>
      </c>
      <c r="J176" s="251">
        <f t="shared" si="4"/>
        <v>1.4220622295508861E-2</v>
      </c>
    </row>
    <row r="177" spans="9:10">
      <c r="I177" s="255">
        <f t="shared" si="5"/>
        <v>141.33417097456172</v>
      </c>
      <c r="J177" s="251">
        <f t="shared" si="4"/>
        <v>1.4185175256246395E-2</v>
      </c>
    </row>
    <row r="178" spans="9:10">
      <c r="I178" s="255">
        <f t="shared" si="5"/>
        <v>142.09333762061644</v>
      </c>
      <c r="J178" s="251">
        <f t="shared" si="4"/>
        <v>1.415000603153504E-2</v>
      </c>
    </row>
    <row r="179" spans="9:10">
      <c r="I179" s="255">
        <f t="shared" si="5"/>
        <v>142.85250426667116</v>
      </c>
      <c r="J179" s="251">
        <f t="shared" si="4"/>
        <v>1.411511093506515E-2</v>
      </c>
    </row>
    <row r="180" spans="9:10">
      <c r="I180" s="255">
        <f t="shared" si="5"/>
        <v>143.61167091272588</v>
      </c>
      <c r="J180" s="251">
        <f t="shared" si="4"/>
        <v>1.4080486349458394E-2</v>
      </c>
    </row>
    <row r="181" spans="9:10">
      <c r="I181" s="255">
        <f t="shared" si="5"/>
        <v>144.37083755878061</v>
      </c>
      <c r="J181" s="251">
        <f t="shared" si="4"/>
        <v>1.404612872460631E-2</v>
      </c>
    </row>
    <row r="182" spans="9:10">
      <c r="I182" s="255">
        <f t="shared" si="5"/>
        <v>145.13000420483533</v>
      </c>
      <c r="J182" s="251">
        <f t="shared" si="4"/>
        <v>1.4012034576057845E-2</v>
      </c>
    </row>
    <row r="183" spans="9:10">
      <c r="I183" s="255">
        <f t="shared" si="5"/>
        <v>145.88917085089005</v>
      </c>
      <c r="J183" s="251">
        <f t="shared" si="4"/>
        <v>1.3978200483454124E-2</v>
      </c>
    </row>
    <row r="184" spans="9:10">
      <c r="I184" s="255">
        <f t="shared" si="5"/>
        <v>146.64833749694478</v>
      </c>
      <c r="J184" s="251">
        <f t="shared" si="4"/>
        <v>1.3944623089008849E-2</v>
      </c>
    </row>
    <row r="185" spans="9:10">
      <c r="I185" s="255">
        <f t="shared" si="5"/>
        <v>147.4075041429995</v>
      </c>
      <c r="J185" s="251">
        <f t="shared" si="4"/>
        <v>1.391129909603276E-2</v>
      </c>
    </row>
    <row r="186" spans="9:10">
      <c r="I186" s="255">
        <f t="shared" si="5"/>
        <v>148.16667078905422</v>
      </c>
      <c r="J186" s="251">
        <f t="shared" si="4"/>
        <v>1.3878225267500635E-2</v>
      </c>
    </row>
    <row r="187" spans="9:10">
      <c r="I187" s="255">
        <f t="shared" si="5"/>
        <v>148.92583743510895</v>
      </c>
      <c r="J187" s="251">
        <f t="shared" si="4"/>
        <v>1.3845398424659367E-2</v>
      </c>
    </row>
    <row r="188" spans="9:10">
      <c r="I188" s="255">
        <f t="shared" si="5"/>
        <v>149.68500408116367</v>
      </c>
      <c r="J188" s="251">
        <f t="shared" si="4"/>
        <v>1.3812815445675771E-2</v>
      </c>
    </row>
    <row r="189" spans="9:10">
      <c r="I189" s="255">
        <f t="shared" si="5"/>
        <v>150.44417072721839</v>
      </c>
      <c r="J189" s="251">
        <f t="shared" si="4"/>
        <v>1.3780473264322751E-2</v>
      </c>
    </row>
    <row r="190" spans="9:10">
      <c r="I190" s="255">
        <f t="shared" si="5"/>
        <v>151.20333737327311</v>
      </c>
      <c r="J190" s="251">
        <f t="shared" si="4"/>
        <v>1.3748368868702537E-2</v>
      </c>
    </row>
    <row r="191" spans="9:10">
      <c r="I191" s="255">
        <f t="shared" si="5"/>
        <v>151.96250401932784</v>
      </c>
      <c r="J191" s="251">
        <f t="shared" si="4"/>
        <v>1.3716499300005774E-2</v>
      </c>
    </row>
    <row r="192" spans="9:10">
      <c r="I192" s="255">
        <f t="shared" si="5"/>
        <v>152.72167066538256</v>
      </c>
      <c r="J192" s="251">
        <f t="shared" si="4"/>
        <v>1.3684861651305273E-2</v>
      </c>
    </row>
    <row r="193" spans="9:10">
      <c r="I193" s="255">
        <f t="shared" si="5"/>
        <v>153.48083731143728</v>
      </c>
      <c r="J193" s="251">
        <f t="shared" si="4"/>
        <v>1.3653453066383279E-2</v>
      </c>
    </row>
    <row r="194" spans="9:10">
      <c r="I194" s="255">
        <f t="shared" si="5"/>
        <v>154.24000395749201</v>
      </c>
      <c r="J194" s="251">
        <f t="shared" si="4"/>
        <v>1.362227073859114E-2</v>
      </c>
    </row>
    <row r="195" spans="9:10">
      <c r="I195" s="255">
        <f t="shared" si="5"/>
        <v>154.99917060354673</v>
      </c>
      <c r="J195" s="251">
        <f t="shared" si="4"/>
        <v>1.359131190974034E-2</v>
      </c>
    </row>
    <row r="196" spans="9:10">
      <c r="I196" s="255">
        <f t="shared" si="5"/>
        <v>155.75833724960145</v>
      </c>
      <c r="J196" s="251">
        <f t="shared" si="4"/>
        <v>1.3560573869023882E-2</v>
      </c>
    </row>
    <row r="197" spans="9:10">
      <c r="I197" s="255">
        <f t="shared" si="5"/>
        <v>156.51750389565618</v>
      </c>
      <c r="J197" s="251">
        <f t="shared" ref="J197:J260" si="6">1/(POWER($G$4*I197+$G$5,1/2)+$G$6)</f>
        <v>1.3530053951966995E-2</v>
      </c>
    </row>
    <row r="198" spans="9:10">
      <c r="I198" s="255">
        <f t="shared" ref="I198:I261" si="7">I197+($I$386-$I$4)/382</f>
        <v>157.2766705417109</v>
      </c>
      <c r="J198" s="251">
        <f t="shared" si="6"/>
        <v>1.3499749539406318E-2</v>
      </c>
    </row>
    <row r="199" spans="9:10">
      <c r="I199" s="255">
        <f t="shared" si="7"/>
        <v>158.03583718776562</v>
      </c>
      <c r="J199" s="251">
        <f t="shared" si="6"/>
        <v>1.3469658056496511E-2</v>
      </c>
    </row>
    <row r="200" spans="9:10">
      <c r="I200" s="255">
        <f t="shared" si="7"/>
        <v>158.79500383382035</v>
      </c>
      <c r="J200" s="251">
        <f t="shared" si="6"/>
        <v>1.3439776971743563E-2</v>
      </c>
    </row>
    <row r="201" spans="9:10">
      <c r="I201" s="255">
        <f t="shared" si="7"/>
        <v>159.55417047987507</v>
      </c>
      <c r="J201" s="251">
        <f t="shared" si="6"/>
        <v>1.3410103796063864E-2</v>
      </c>
    </row>
    <row r="202" spans="9:10">
      <c r="I202" s="255">
        <f t="shared" si="7"/>
        <v>160.31333712592979</v>
      </c>
      <c r="J202" s="251">
        <f t="shared" si="6"/>
        <v>1.3380636081868232E-2</v>
      </c>
    </row>
    <row r="203" spans="9:10">
      <c r="I203" s="255">
        <f t="shared" si="7"/>
        <v>161.07250377198451</v>
      </c>
      <c r="J203" s="251">
        <f t="shared" si="6"/>
        <v>1.3351371422170168E-2</v>
      </c>
    </row>
    <row r="204" spans="9:10">
      <c r="I204" s="255">
        <f t="shared" si="7"/>
        <v>161.83167041803924</v>
      </c>
      <c r="J204" s="251">
        <f t="shared" si="6"/>
        <v>1.3322307449717526E-2</v>
      </c>
    </row>
    <row r="205" spans="9:10">
      <c r="I205" s="255">
        <f t="shared" si="7"/>
        <v>162.59083706409396</v>
      </c>
      <c r="J205" s="251">
        <f t="shared" si="6"/>
        <v>1.3293441836146907E-2</v>
      </c>
    </row>
    <row r="206" spans="9:10">
      <c r="I206" s="255">
        <f t="shared" si="7"/>
        <v>163.35000371014868</v>
      </c>
      <c r="J206" s="251">
        <f t="shared" si="6"/>
        <v>1.3264772291160036E-2</v>
      </c>
    </row>
    <row r="207" spans="9:10">
      <c r="I207" s="255">
        <f t="shared" si="7"/>
        <v>164.10917035620341</v>
      </c>
      <c r="J207" s="251">
        <f t="shared" si="6"/>
        <v>1.3236296561721516E-2</v>
      </c>
    </row>
    <row r="208" spans="9:10">
      <c r="I208" s="255">
        <f t="shared" si="7"/>
        <v>164.86833700225813</v>
      </c>
      <c r="J208" s="251">
        <f t="shared" si="6"/>
        <v>1.320801243127721E-2</v>
      </c>
    </row>
    <row r="209" spans="9:10">
      <c r="I209" s="255">
        <f t="shared" si="7"/>
        <v>165.62750364831285</v>
      </c>
      <c r="J209" s="251">
        <f t="shared" si="6"/>
        <v>1.3179917718992721E-2</v>
      </c>
    </row>
    <row r="210" spans="9:10">
      <c r="I210" s="255">
        <f t="shared" si="7"/>
        <v>166.38667029436758</v>
      </c>
      <c r="J210" s="251">
        <f t="shared" si="6"/>
        <v>1.3152010279011271E-2</v>
      </c>
    </row>
    <row r="211" spans="9:10">
      <c r="I211" s="255">
        <f t="shared" si="7"/>
        <v>167.1458369404223</v>
      </c>
      <c r="J211" s="251">
        <f t="shared" si="6"/>
        <v>1.3124287999730476E-2</v>
      </c>
    </row>
    <row r="212" spans="9:10">
      <c r="I212" s="255">
        <f t="shared" si="7"/>
        <v>167.90500358647702</v>
      </c>
      <c r="J212" s="251">
        <f t="shared" si="6"/>
        <v>1.3096748803097384E-2</v>
      </c>
    </row>
    <row r="213" spans="9:10">
      <c r="I213" s="255">
        <f t="shared" si="7"/>
        <v>168.66417023253175</v>
      </c>
      <c r="J213" s="251">
        <f t="shared" si="6"/>
        <v>1.3069390643921267E-2</v>
      </c>
    </row>
    <row r="214" spans="9:10">
      <c r="I214" s="255">
        <f t="shared" si="7"/>
        <v>169.42333687858647</v>
      </c>
      <c r="J214" s="251">
        <f t="shared" si="6"/>
        <v>1.3042211509203625E-2</v>
      </c>
    </row>
    <row r="215" spans="9:10">
      <c r="I215" s="255">
        <f t="shared" si="7"/>
        <v>170.18250352464119</v>
      </c>
      <c r="J215" s="251">
        <f t="shared" si="6"/>
        <v>1.3015209417484911E-2</v>
      </c>
    </row>
    <row r="216" spans="9:10">
      <c r="I216" s="255">
        <f t="shared" si="7"/>
        <v>170.94167017069591</v>
      </c>
      <c r="J216" s="251">
        <f t="shared" si="6"/>
        <v>1.2988382418207454E-2</v>
      </c>
    </row>
    <row r="217" spans="9:10">
      <c r="I217" s="255">
        <f t="shared" si="7"/>
        <v>171.70083681675064</v>
      </c>
      <c r="J217" s="251">
        <f t="shared" si="6"/>
        <v>1.2961728591094127E-2</v>
      </c>
    </row>
    <row r="218" spans="9:10">
      <c r="I218" s="255">
        <f t="shared" si="7"/>
        <v>172.46000346280536</v>
      </c>
      <c r="J218" s="251">
        <f t="shared" si="6"/>
        <v>1.29352460455423E-2</v>
      </c>
    </row>
    <row r="219" spans="9:10">
      <c r="I219" s="255">
        <f t="shared" si="7"/>
        <v>173.21917010886008</v>
      </c>
      <c r="J219" s="251">
        <f t="shared" si="6"/>
        <v>1.2908932920032624E-2</v>
      </c>
    </row>
    <row r="220" spans="9:10">
      <c r="I220" s="255">
        <f t="shared" si="7"/>
        <v>173.97833675491481</v>
      </c>
      <c r="J220" s="251">
        <f t="shared" si="6"/>
        <v>1.2882787381552224E-2</v>
      </c>
    </row>
    <row r="221" spans="9:10">
      <c r="I221" s="255">
        <f t="shared" si="7"/>
        <v>174.73750340096953</v>
      </c>
      <c r="J221" s="251">
        <f t="shared" si="6"/>
        <v>1.2856807625031894E-2</v>
      </c>
    </row>
    <row r="222" spans="9:10">
      <c r="I222" s="255">
        <f t="shared" si="7"/>
        <v>175.49667004702425</v>
      </c>
      <c r="J222" s="251">
        <f t="shared" si="6"/>
        <v>1.2830991872796856E-2</v>
      </c>
    </row>
    <row r="223" spans="9:10">
      <c r="I223" s="255">
        <f t="shared" si="7"/>
        <v>176.25583669307898</v>
      </c>
      <c r="J223" s="251">
        <f t="shared" si="6"/>
        <v>1.2805338374030759E-2</v>
      </c>
    </row>
    <row r="224" spans="9:10">
      <c r="I224" s="255">
        <f t="shared" si="7"/>
        <v>177.0150033391337</v>
      </c>
      <c r="J224" s="251">
        <f t="shared" si="6"/>
        <v>1.2779845404252484E-2</v>
      </c>
    </row>
    <row r="225" spans="9:10">
      <c r="I225" s="255">
        <f t="shared" si="7"/>
        <v>177.77416998518842</v>
      </c>
      <c r="J225" s="251">
        <f t="shared" si="6"/>
        <v>1.2754511264805412E-2</v>
      </c>
    </row>
    <row r="226" spans="9:10">
      <c r="I226" s="255">
        <f t="shared" si="7"/>
        <v>178.53333663124315</v>
      </c>
      <c r="J226" s="251">
        <f t="shared" si="6"/>
        <v>1.2729334282358831E-2</v>
      </c>
    </row>
    <row r="227" spans="9:10">
      <c r="I227" s="255">
        <f t="shared" si="7"/>
        <v>179.29250327729787</v>
      </c>
      <c r="J227" s="251">
        <f t="shared" si="6"/>
        <v>1.2704312808421089E-2</v>
      </c>
    </row>
    <row r="228" spans="9:10">
      <c r="I228" s="255">
        <f t="shared" si="7"/>
        <v>180.05166992335259</v>
      </c>
      <c r="J228" s="251">
        <f t="shared" si="6"/>
        <v>1.2679445218864225E-2</v>
      </c>
    </row>
    <row r="229" spans="9:10">
      <c r="I229" s="255">
        <f t="shared" si="7"/>
        <v>180.81083656940731</v>
      </c>
      <c r="J229" s="251">
        <f t="shared" si="6"/>
        <v>1.2654729913459695E-2</v>
      </c>
    </row>
    <row r="230" spans="9:10">
      <c r="I230" s="255">
        <f t="shared" si="7"/>
        <v>181.57000321546204</v>
      </c>
      <c r="J230" s="251">
        <f t="shared" si="6"/>
        <v>1.2630165315424949E-2</v>
      </c>
    </row>
    <row r="231" spans="9:10">
      <c r="I231" s="255">
        <f t="shared" si="7"/>
        <v>182.32916986151676</v>
      </c>
      <c r="J231" s="251">
        <f t="shared" si="6"/>
        <v>1.2605749870980523E-2</v>
      </c>
    </row>
    <row r="232" spans="9:10">
      <c r="I232" s="255">
        <f t="shared" si="7"/>
        <v>183.08833650757148</v>
      </c>
      <c r="J232" s="251">
        <f t="shared" si="6"/>
        <v>1.2581482048917351E-2</v>
      </c>
    </row>
    <row r="233" spans="9:10">
      <c r="I233" s="255">
        <f t="shared" si="7"/>
        <v>183.84750315362621</v>
      </c>
      <c r="J233" s="251">
        <f t="shared" si="6"/>
        <v>1.2557360340174054E-2</v>
      </c>
    </row>
    <row r="234" spans="9:10">
      <c r="I234" s="255">
        <f t="shared" si="7"/>
        <v>184.60666979968093</v>
      </c>
      <c r="J234" s="251">
        <f t="shared" si="6"/>
        <v>1.2533383257423902E-2</v>
      </c>
    </row>
    <row r="235" spans="9:10">
      <c r="I235" s="255">
        <f t="shared" si="7"/>
        <v>185.36583644573565</v>
      </c>
      <c r="J235" s="251">
        <f t="shared" si="6"/>
        <v>1.2509549334671199E-2</v>
      </c>
    </row>
    <row r="236" spans="9:10">
      <c r="I236" s="255">
        <f t="shared" si="7"/>
        <v>186.12500309179038</v>
      </c>
      <c r="J236" s="251">
        <f t="shared" si="6"/>
        <v>1.2485857126856842E-2</v>
      </c>
    </row>
    <row r="237" spans="9:10">
      <c r="I237" s="255">
        <f t="shared" si="7"/>
        <v>186.8841697378451</v>
      </c>
      <c r="J237" s="251">
        <f t="shared" si="6"/>
        <v>1.2462305209472798E-2</v>
      </c>
    </row>
    <row r="238" spans="9:10">
      <c r="I238" s="255">
        <f t="shared" si="7"/>
        <v>187.64333638389982</v>
      </c>
      <c r="J238" s="251">
        <f t="shared" si="6"/>
        <v>1.2438892178185269E-2</v>
      </c>
    </row>
    <row r="239" spans="9:10">
      <c r="I239" s="255">
        <f t="shared" si="7"/>
        <v>188.40250302995454</v>
      </c>
      <c r="J239" s="251">
        <f t="shared" si="6"/>
        <v>1.2415616648466297E-2</v>
      </c>
    </row>
    <row r="240" spans="9:10">
      <c r="I240" s="255">
        <f t="shared" si="7"/>
        <v>189.16166967600927</v>
      </c>
      <c r="J240" s="251">
        <f t="shared" si="6"/>
        <v>1.2392477255233628E-2</v>
      </c>
    </row>
    <row r="241" spans="9:10">
      <c r="I241" s="255">
        <f t="shared" si="7"/>
        <v>189.92083632206399</v>
      </c>
      <c r="J241" s="251">
        <f t="shared" si="6"/>
        <v>1.2369472652498555E-2</v>
      </c>
    </row>
    <row r="242" spans="9:10">
      <c r="I242" s="255">
        <f t="shared" si="7"/>
        <v>190.68000296811871</v>
      </c>
      <c r="J242" s="251">
        <f t="shared" si="6"/>
        <v>1.2346601513021577E-2</v>
      </c>
    </row>
    <row r="243" spans="9:10">
      <c r="I243" s="255">
        <f t="shared" si="7"/>
        <v>191.43916961417344</v>
      </c>
      <c r="J243" s="251">
        <f t="shared" si="6"/>
        <v>1.2323862527975658E-2</v>
      </c>
    </row>
    <row r="244" spans="9:10">
      <c r="I244" s="255">
        <f t="shared" si="7"/>
        <v>192.19833626022816</v>
      </c>
      <c r="J244" s="251">
        <f t="shared" si="6"/>
        <v>1.2301254406616877E-2</v>
      </c>
    </row>
    <row r="245" spans="9:10">
      <c r="I245" s="255">
        <f t="shared" si="7"/>
        <v>192.95750290628288</v>
      </c>
      <c r="J245" s="251">
        <f t="shared" si="6"/>
        <v>1.2278775875962301E-2</v>
      </c>
    </row>
    <row r="246" spans="9:10">
      <c r="I246" s="255">
        <f t="shared" si="7"/>
        <v>193.71666955233761</v>
      </c>
      <c r="J246" s="251">
        <f t="shared" si="6"/>
        <v>1.225642568047485E-2</v>
      </c>
    </row>
    <row r="247" spans="9:10">
      <c r="I247" s="255">
        <f t="shared" si="7"/>
        <v>194.47583619839233</v>
      </c>
      <c r="J247" s="251">
        <f t="shared" si="6"/>
        <v>1.2234202581755024E-2</v>
      </c>
    </row>
    <row r="248" spans="9:10">
      <c r="I248" s="255">
        <f t="shared" si="7"/>
        <v>195.23500284444705</v>
      </c>
      <c r="J248" s="251">
        <f t="shared" si="6"/>
        <v>1.2212105358239297E-2</v>
      </c>
    </row>
    <row r="249" spans="9:10">
      <c r="I249" s="255">
        <f t="shared" si="7"/>
        <v>195.99416949050178</v>
      </c>
      <c r="J249" s="251">
        <f t="shared" si="6"/>
        <v>1.2190132804904993E-2</v>
      </c>
    </row>
    <row r="250" spans="9:10">
      <c r="I250" s="255">
        <f t="shared" si="7"/>
        <v>196.7533361365565</v>
      </c>
      <c r="J250" s="251">
        <f t="shared" si="6"/>
        <v>1.2168283732981486E-2</v>
      </c>
    </row>
    <row r="251" spans="9:10">
      <c r="I251" s="255">
        <f t="shared" si="7"/>
        <v>197.51250278261122</v>
      </c>
      <c r="J251" s="251">
        <f t="shared" si="6"/>
        <v>1.2146556969667594E-2</v>
      </c>
    </row>
    <row r="252" spans="9:10">
      <c r="I252" s="255">
        <f t="shared" si="7"/>
        <v>198.27166942866594</v>
      </c>
      <c r="J252" s="251">
        <f t="shared" si="6"/>
        <v>1.2124951357854956E-2</v>
      </c>
    </row>
    <row r="253" spans="9:10">
      <c r="I253" s="255">
        <f t="shared" si="7"/>
        <v>199.03083607472067</v>
      </c>
      <c r="J253" s="251">
        <f t="shared" si="6"/>
        <v>1.2103465755857289E-2</v>
      </c>
    </row>
    <row r="254" spans="9:10">
      <c r="I254" s="255">
        <f t="shared" si="7"/>
        <v>199.79000272077539</v>
      </c>
      <c r="J254" s="251">
        <f t="shared" si="6"/>
        <v>1.208209903714536E-2</v>
      </c>
    </row>
    <row r="255" spans="9:10">
      <c r="I255" s="255">
        <f t="shared" si="7"/>
        <v>200.54916936683011</v>
      </c>
      <c r="J255" s="251">
        <f t="shared" si="6"/>
        <v>1.2060850090087519E-2</v>
      </c>
    </row>
    <row r="256" spans="9:10">
      <c r="I256" s="255">
        <f t="shared" si="7"/>
        <v>201.30833601288484</v>
      </c>
      <c r="J256" s="251">
        <f t="shared" si="6"/>
        <v>1.2039717817695675E-2</v>
      </c>
    </row>
    <row r="257" spans="9:10">
      <c r="I257" s="255">
        <f t="shared" si="7"/>
        <v>202.06750265893956</v>
      </c>
      <c r="J257" s="251">
        <f t="shared" si="6"/>
        <v>1.2018701137376568E-2</v>
      </c>
    </row>
    <row r="258" spans="9:10">
      <c r="I258" s="255">
        <f t="shared" si="7"/>
        <v>202.82666930499428</v>
      </c>
      <c r="J258" s="251">
        <f t="shared" si="6"/>
        <v>1.1997798980688219E-2</v>
      </c>
    </row>
    <row r="259" spans="9:10">
      <c r="I259" s="255">
        <f t="shared" si="7"/>
        <v>203.58583595104901</v>
      </c>
      <c r="J259" s="251">
        <f t="shared" si="6"/>
        <v>1.1977010293101399E-2</v>
      </c>
    </row>
    <row r="260" spans="9:10">
      <c r="I260" s="255">
        <f t="shared" si="7"/>
        <v>204.34500259710373</v>
      </c>
      <c r="J260" s="251">
        <f t="shared" si="6"/>
        <v>1.1956334033766043E-2</v>
      </c>
    </row>
    <row r="261" spans="9:10">
      <c r="I261" s="255">
        <f t="shared" si="7"/>
        <v>205.10416924315845</v>
      </c>
      <c r="J261" s="251">
        <f t="shared" ref="J261:J324" si="8">1/(POWER($G$4*I261+$G$5,1/2)+$G$6)</f>
        <v>1.1935769175282449E-2</v>
      </c>
    </row>
    <row r="262" spans="9:10">
      <c r="I262" s="255">
        <f t="shared" ref="I262:I325" si="9">I261+($I$386-$I$4)/382</f>
        <v>205.86333588921318</v>
      </c>
      <c r="J262" s="251">
        <f t="shared" si="8"/>
        <v>1.1915314703477158E-2</v>
      </c>
    </row>
    <row r="263" spans="9:10">
      <c r="I263" s="255">
        <f t="shared" si="9"/>
        <v>206.6225025352679</v>
      </c>
      <c r="J263" s="251">
        <f t="shared" si="8"/>
        <v>1.1894969617183414E-2</v>
      </c>
    </row>
    <row r="264" spans="9:10">
      <c r="I264" s="255">
        <f t="shared" si="9"/>
        <v>207.38166918132262</v>
      </c>
      <c r="J264" s="251">
        <f t="shared" si="8"/>
        <v>1.1874732928026059E-2</v>
      </c>
    </row>
    <row r="265" spans="9:10">
      <c r="I265" s="255">
        <f t="shared" si="9"/>
        <v>208.14083582737734</v>
      </c>
      <c r="J265" s="251">
        <f t="shared" si="8"/>
        <v>1.1854603660210818E-2</v>
      </c>
    </row>
    <row r="266" spans="9:10">
      <c r="I266" s="255">
        <f t="shared" si="9"/>
        <v>208.90000247343207</v>
      </c>
      <c r="J266" s="251">
        <f t="shared" si="8"/>
        <v>1.1834580850317798E-2</v>
      </c>
    </row>
    <row r="267" spans="9:10">
      <c r="I267" s="255">
        <f t="shared" si="9"/>
        <v>209.65916911948679</v>
      </c>
      <c r="J267" s="251">
        <f t="shared" si="8"/>
        <v>1.1814663547099136E-2</v>
      </c>
    </row>
    <row r="268" spans="9:10">
      <c r="I268" s="255">
        <f t="shared" si="9"/>
        <v>210.41833576554151</v>
      </c>
      <c r="J268" s="251">
        <f t="shared" si="8"/>
        <v>1.1794850811280731E-2</v>
      </c>
    </row>
    <row r="269" spans="9:10">
      <c r="I269" s="255">
        <f t="shared" si="9"/>
        <v>211.17750241159624</v>
      </c>
      <c r="J269" s="251">
        <f t="shared" si="8"/>
        <v>1.1775141715367874E-2</v>
      </c>
    </row>
    <row r="270" spans="9:10">
      <c r="I270" s="255">
        <f t="shared" si="9"/>
        <v>211.93666905765096</v>
      </c>
      <c r="J270" s="251">
        <f t="shared" si="8"/>
        <v>1.1755535343454786E-2</v>
      </c>
    </row>
    <row r="271" spans="9:10">
      <c r="I271" s="255">
        <f t="shared" si="9"/>
        <v>212.69583570370568</v>
      </c>
      <c r="J271" s="251">
        <f t="shared" si="8"/>
        <v>1.1736030791037896E-2</v>
      </c>
    </row>
    <row r="272" spans="9:10">
      <c r="I272" s="255">
        <f t="shared" si="9"/>
        <v>213.45500234976041</v>
      </c>
      <c r="J272" s="251">
        <f t="shared" si="8"/>
        <v>1.1716627164832813E-2</v>
      </c>
    </row>
    <row r="273" spans="9:10">
      <c r="I273" s="255">
        <f t="shared" si="9"/>
        <v>214.21416899581513</v>
      </c>
      <c r="J273" s="251">
        <f t="shared" si="8"/>
        <v>1.1697323582594876E-2</v>
      </c>
    </row>
    <row r="274" spans="9:10">
      <c r="I274" s="255">
        <f t="shared" si="9"/>
        <v>214.97333564186985</v>
      </c>
      <c r="J274" s="251">
        <f t="shared" si="8"/>
        <v>1.1678119172943254E-2</v>
      </c>
    </row>
    <row r="275" spans="9:10">
      <c r="I275" s="255">
        <f t="shared" si="9"/>
        <v>215.73250228792458</v>
      </c>
      <c r="J275" s="251">
        <f t="shared" si="8"/>
        <v>1.1659013075188416E-2</v>
      </c>
    </row>
    <row r="276" spans="9:10">
      <c r="I276" s="255">
        <f t="shared" si="9"/>
        <v>216.4916689339793</v>
      </c>
      <c r="J276" s="251">
        <f t="shared" si="8"/>
        <v>1.1640004439163016E-2</v>
      </c>
    </row>
    <row r="277" spans="9:10">
      <c r="I277" s="255">
        <f t="shared" si="9"/>
        <v>217.25083558003402</v>
      </c>
      <c r="J277" s="251">
        <f t="shared" si="8"/>
        <v>1.1621092425056007E-2</v>
      </c>
    </row>
    <row r="278" spans="9:10">
      <c r="I278" s="255">
        <f t="shared" si="9"/>
        <v>218.01000222608874</v>
      </c>
      <c r="J278" s="251">
        <f t="shared" si="8"/>
        <v>1.1602276203249972E-2</v>
      </c>
    </row>
    <row r="279" spans="9:10">
      <c r="I279" s="255">
        <f t="shared" si="9"/>
        <v>218.76916887214347</v>
      </c>
      <c r="J279" s="251">
        <f t="shared" si="8"/>
        <v>1.1583554954161588E-2</v>
      </c>
    </row>
    <row r="280" spans="9:10">
      <c r="I280" s="255">
        <f t="shared" si="9"/>
        <v>219.52833551819819</v>
      </c>
      <c r="J280" s="251">
        <f t="shared" si="8"/>
        <v>1.1564927868085124E-2</v>
      </c>
    </row>
    <row r="281" spans="9:10">
      <c r="I281" s="255">
        <f t="shared" si="9"/>
        <v>220.28750216425291</v>
      </c>
      <c r="J281" s="251">
        <f t="shared" si="8"/>
        <v>1.1546394145038948E-2</v>
      </c>
    </row>
    <row r="282" spans="9:10">
      <c r="I282" s="255">
        <f t="shared" si="9"/>
        <v>221.04666881030764</v>
      </c>
      <c r="J282" s="251">
        <f t="shared" si="8"/>
        <v>1.1527952994614947E-2</v>
      </c>
    </row>
    <row r="283" spans="9:10">
      <c r="I283" s="255">
        <f t="shared" si="9"/>
        <v>221.80583545636236</v>
      </c>
      <c r="J283" s="251">
        <f t="shared" si="8"/>
        <v>1.1509603635830781E-2</v>
      </c>
    </row>
    <row r="284" spans="9:10">
      <c r="I284" s="255">
        <f t="shared" si="9"/>
        <v>222.56500210241708</v>
      </c>
      <c r="J284" s="251">
        <f t="shared" si="8"/>
        <v>1.1491345296984956E-2</v>
      </c>
    </row>
    <row r="285" spans="9:10">
      <c r="I285" s="255">
        <f t="shared" si="9"/>
        <v>223.32416874847181</v>
      </c>
      <c r="J285" s="251">
        <f t="shared" si="8"/>
        <v>1.1473177215514607E-2</v>
      </c>
    </row>
    <row r="286" spans="9:10">
      <c r="I286" s="255">
        <f t="shared" si="9"/>
        <v>224.08333539452653</v>
      </c>
      <c r="J286" s="251">
        <f t="shared" si="8"/>
        <v>1.1455098637855947E-2</v>
      </c>
    </row>
    <row r="287" spans="9:10">
      <c r="I287" s="255">
        <f t="shared" si="9"/>
        <v>224.84250204058125</v>
      </c>
      <c r="J287" s="251">
        <f t="shared" si="8"/>
        <v>1.1437108819307333E-2</v>
      </c>
    </row>
    <row r="288" spans="9:10">
      <c r="I288" s="255">
        <f t="shared" si="9"/>
        <v>225.60166868663597</v>
      </c>
      <c r="J288" s="251">
        <f t="shared" si="8"/>
        <v>1.1419207023894873E-2</v>
      </c>
    </row>
    <row r="289" spans="9:10">
      <c r="I289" s="255">
        <f t="shared" si="9"/>
        <v>226.3608353326907</v>
      </c>
      <c r="J289" s="251">
        <f t="shared" si="8"/>
        <v>1.1401392524240526E-2</v>
      </c>
    </row>
    <row r="290" spans="9:10">
      <c r="I290" s="255">
        <f t="shared" si="9"/>
        <v>227.12000197874542</v>
      </c>
      <c r="J290" s="251">
        <f t="shared" si="8"/>
        <v>1.1383664601432652E-2</v>
      </c>
    </row>
    <row r="291" spans="9:10">
      <c r="I291" s="255">
        <f t="shared" si="9"/>
        <v>227.87916862480014</v>
      </c>
      <c r="J291" s="251">
        <f t="shared" si="8"/>
        <v>1.1366022544898942E-2</v>
      </c>
    </row>
    <row r="292" spans="9:10">
      <c r="I292" s="255">
        <f t="shared" si="9"/>
        <v>228.63833527085487</v>
      </c>
      <c r="J292" s="251">
        <f t="shared" si="8"/>
        <v>1.134846565228167E-2</v>
      </c>
    </row>
    <row r="293" spans="9:10">
      <c r="I293" s="255">
        <f t="shared" si="9"/>
        <v>229.39750191690959</v>
      </c>
      <c r="J293" s="251">
        <f t="shared" si="8"/>
        <v>1.1330993229315248E-2</v>
      </c>
    </row>
    <row r="294" spans="9:10">
      <c r="I294" s="255">
        <f t="shared" si="9"/>
        <v>230.15666856296431</v>
      </c>
      <c r="J294" s="251">
        <f t="shared" si="8"/>
        <v>1.1313604589705999E-2</v>
      </c>
    </row>
    <row r="295" spans="9:10">
      <c r="I295" s="255">
        <f t="shared" si="9"/>
        <v>230.91583520901904</v>
      </c>
      <c r="J295" s="251">
        <f t="shared" si="8"/>
        <v>1.1296299055014133E-2</v>
      </c>
    </row>
    <row r="296" spans="9:10">
      <c r="I296" s="255">
        <f t="shared" si="9"/>
        <v>231.67500185507376</v>
      </c>
      <c r="J296" s="251">
        <f t="shared" si="8"/>
        <v>1.127907595453783E-2</v>
      </c>
    </row>
    <row r="297" spans="9:10">
      <c r="I297" s="255">
        <f t="shared" si="9"/>
        <v>232.43416850112848</v>
      </c>
      <c r="J297" s="251">
        <f t="shared" si="8"/>
        <v>1.1261934625199465E-2</v>
      </c>
    </row>
    <row r="298" spans="9:10">
      <c r="I298" s="255">
        <f t="shared" si="9"/>
        <v>233.19333514718321</v>
      </c>
      <c r="J298" s="251">
        <f t="shared" si="8"/>
        <v>1.1244874411433821E-2</v>
      </c>
    </row>
    <row r="299" spans="9:10">
      <c r="I299" s="255">
        <f t="shared" si="9"/>
        <v>233.95250179323793</v>
      </c>
      <c r="J299" s="251">
        <f t="shared" si="8"/>
        <v>1.1227894665078364E-2</v>
      </c>
    </row>
    <row r="300" spans="9:10">
      <c r="I300" s="255">
        <f t="shared" si="9"/>
        <v>234.71166843929265</v>
      </c>
      <c r="J300" s="251">
        <f t="shared" si="8"/>
        <v>1.1210994745265433E-2</v>
      </c>
    </row>
    <row r="301" spans="9:10">
      <c r="I301" s="255">
        <f t="shared" si="9"/>
        <v>235.47083508534737</v>
      </c>
      <c r="J301" s="251">
        <f t="shared" si="8"/>
        <v>1.1194174018316396E-2</v>
      </c>
    </row>
    <row r="302" spans="9:10">
      <c r="I302" s="255">
        <f t="shared" si="9"/>
        <v>236.2300017314021</v>
      </c>
      <c r="J302" s="251">
        <f t="shared" si="8"/>
        <v>1.1177431857637634E-2</v>
      </c>
    </row>
    <row r="303" spans="9:10">
      <c r="I303" s="255">
        <f t="shared" si="9"/>
        <v>236.98916837745682</v>
      </c>
      <c r="J303" s="251">
        <f t="shared" si="8"/>
        <v>1.1160767643618416E-2</v>
      </c>
    </row>
    <row r="304" spans="9:10">
      <c r="I304" s="255">
        <f t="shared" si="9"/>
        <v>237.74833502351154</v>
      </c>
      <c r="J304" s="251">
        <f t="shared" si="8"/>
        <v>1.1144180763530541E-2</v>
      </c>
    </row>
    <row r="305" spans="9:10">
      <c r="I305" s="255">
        <f t="shared" si="9"/>
        <v>238.50750166956627</v>
      </c>
      <c r="J305" s="251">
        <f t="shared" si="8"/>
        <v>1.1127670611429758E-2</v>
      </c>
    </row>
    <row r="306" spans="9:10">
      <c r="I306" s="255">
        <f t="shared" si="9"/>
        <v>239.26666831562099</v>
      </c>
      <c r="J306" s="251">
        <f t="shared" si="8"/>
        <v>1.1111236588058926E-2</v>
      </c>
    </row>
    <row r="307" spans="9:10">
      <c r="I307" s="255">
        <f t="shared" si="9"/>
        <v>240.02583496167571</v>
      </c>
      <c r="J307" s="251">
        <f t="shared" si="8"/>
        <v>1.1094878100752834E-2</v>
      </c>
    </row>
    <row r="308" spans="9:10">
      <c r="I308" s="255">
        <f t="shared" si="9"/>
        <v>240.78500160773044</v>
      </c>
      <c r="J308" s="251">
        <f t="shared" si="8"/>
        <v>1.1078594563344712E-2</v>
      </c>
    </row>
    <row r="309" spans="9:10">
      <c r="I309" s="255">
        <f t="shared" si="9"/>
        <v>241.54416825378516</v>
      </c>
      <c r="J309" s="251">
        <f t="shared" si="8"/>
        <v>1.1062385396074341E-2</v>
      </c>
    </row>
    <row r="310" spans="9:10">
      <c r="I310" s="255">
        <f t="shared" si="9"/>
        <v>242.30333489983988</v>
      </c>
      <c r="J310" s="251">
        <f t="shared" si="8"/>
        <v>1.1046250025497771E-2</v>
      </c>
    </row>
    <row r="311" spans="9:10">
      <c r="I311" s="255">
        <f t="shared" si="9"/>
        <v>243.06250154589461</v>
      </c>
      <c r="J311" s="251">
        <f t="shared" si="8"/>
        <v>1.1030187884398582E-2</v>
      </c>
    </row>
    <row r="312" spans="9:10">
      <c r="I312" s="255">
        <f t="shared" si="9"/>
        <v>243.82166819194933</v>
      </c>
      <c r="J312" s="251">
        <f t="shared" si="8"/>
        <v>1.1014198411700673E-2</v>
      </c>
    </row>
    <row r="313" spans="9:10">
      <c r="I313" s="255">
        <f t="shared" si="9"/>
        <v>244.58083483800405</v>
      </c>
      <c r="J313" s="251">
        <f t="shared" si="8"/>
        <v>1.0998281052382557E-2</v>
      </c>
    </row>
    <row r="314" spans="9:10">
      <c r="I314" s="255">
        <f t="shared" si="9"/>
        <v>245.34000148405877</v>
      </c>
      <c r="J314" s="251">
        <f t="shared" si="8"/>
        <v>1.0982435257393107E-2</v>
      </c>
    </row>
    <row r="315" spans="9:10">
      <c r="I315" s="255">
        <f t="shared" si="9"/>
        <v>246.0991681301135</v>
      </c>
      <c r="J315" s="251">
        <f t="shared" si="8"/>
        <v>1.0966660483568738E-2</v>
      </c>
    </row>
    <row r="316" spans="9:10">
      <c r="I316" s="255">
        <f t="shared" si="9"/>
        <v>246.85833477616822</v>
      </c>
      <c r="J316" s="251">
        <f t="shared" si="8"/>
        <v>1.0950956193552002E-2</v>
      </c>
    </row>
    <row r="317" spans="9:10">
      <c r="I317" s="255">
        <f t="shared" si="9"/>
        <v>247.61750142222294</v>
      </c>
      <c r="J317" s="251">
        <f t="shared" si="8"/>
        <v>1.0935321855711557E-2</v>
      </c>
    </row>
    <row r="318" spans="9:10">
      <c r="I318" s="255">
        <f t="shared" si="9"/>
        <v>248.37666806827767</v>
      </c>
      <c r="J318" s="251">
        <f t="shared" si="8"/>
        <v>1.0919756944063486E-2</v>
      </c>
    </row>
    <row r="319" spans="9:10">
      <c r="I319" s="255">
        <f t="shared" si="9"/>
        <v>249.13583471433239</v>
      </c>
      <c r="J319" s="251">
        <f t="shared" si="8"/>
        <v>1.0904260938193935E-2</v>
      </c>
    </row>
    <row r="320" spans="9:10">
      <c r="I320" s="255">
        <f t="shared" si="9"/>
        <v>249.89500136038711</v>
      </c>
      <c r="J320" s="251">
        <f t="shared" si="8"/>
        <v>1.0888833323183054E-2</v>
      </c>
    </row>
    <row r="321" spans="9:10">
      <c r="I321" s="255">
        <f t="shared" si="9"/>
        <v>250.65416800644184</v>
      </c>
      <c r="J321" s="251">
        <f t="shared" si="8"/>
        <v>1.0873473589530202E-2</v>
      </c>
    </row>
    <row r="322" spans="9:10">
      <c r="I322" s="255">
        <f t="shared" si="9"/>
        <v>251.41333465249656</v>
      </c>
      <c r="J322" s="251">
        <f t="shared" si="8"/>
        <v>1.0858181233080418E-2</v>
      </c>
    </row>
    <row r="323" spans="9:10">
      <c r="I323" s="255">
        <f t="shared" si="9"/>
        <v>252.17250129855128</v>
      </c>
      <c r="J323" s="251">
        <f t="shared" si="8"/>
        <v>1.0842955754952073E-2</v>
      </c>
    </row>
    <row r="324" spans="9:10">
      <c r="I324" s="255">
        <f t="shared" si="9"/>
        <v>252.931667944606</v>
      </c>
      <c r="J324" s="251">
        <f t="shared" si="8"/>
        <v>1.0827796661465772E-2</v>
      </c>
    </row>
    <row r="325" spans="9:10">
      <c r="I325" s="255">
        <f t="shared" si="9"/>
        <v>253.69083459066073</v>
      </c>
      <c r="J325" s="251">
        <f t="shared" ref="J325:J386" si="10">1/(POWER($G$4*I325+$G$5,1/2)+$G$6)</f>
        <v>1.0812703464074374E-2</v>
      </c>
    </row>
    <row r="326" spans="9:10">
      <c r="I326" s="255">
        <f t="shared" ref="I326:I385" si="11">I325+($I$386-$I$4)/382</f>
        <v>254.45000123671545</v>
      </c>
      <c r="J326" s="251">
        <f t="shared" si="10"/>
        <v>1.0797675679294219E-2</v>
      </c>
    </row>
    <row r="327" spans="9:10">
      <c r="I327" s="255">
        <f t="shared" si="11"/>
        <v>255.20916788277017</v>
      </c>
      <c r="J327" s="251">
        <f t="shared" si="10"/>
        <v>1.0782712828637436E-2</v>
      </c>
    </row>
    <row r="328" spans="9:10">
      <c r="I328" s="255">
        <f t="shared" si="11"/>
        <v>255.9683345288249</v>
      </c>
      <c r="J328" s="251">
        <f t="shared" si="10"/>
        <v>1.0767814438545388E-2</v>
      </c>
    </row>
    <row r="329" spans="9:10">
      <c r="I329" s="255">
        <f t="shared" si="11"/>
        <v>256.72750117487965</v>
      </c>
      <c r="J329" s="251">
        <f t="shared" si="10"/>
        <v>1.0752980040323188E-2</v>
      </c>
    </row>
    <row r="330" spans="9:10">
      <c r="I330" s="255">
        <f t="shared" si="11"/>
        <v>257.48666782093437</v>
      </c>
      <c r="J330" s="251">
        <f t="shared" si="10"/>
        <v>1.0738209170075289E-2</v>
      </c>
    </row>
    <row r="331" spans="9:10">
      <c r="I331" s="255">
        <f t="shared" si="11"/>
        <v>258.24583446698909</v>
      </c>
      <c r="J331" s="251">
        <f t="shared" si="10"/>
        <v>1.072350136864211E-2</v>
      </c>
    </row>
    <row r="332" spans="9:10">
      <c r="I332" s="255">
        <f t="shared" si="11"/>
        <v>259.00500111304382</v>
      </c>
      <c r="J332" s="251">
        <f t="shared" si="10"/>
        <v>1.0708856181537687E-2</v>
      </c>
    </row>
    <row r="333" spans="9:10">
      <c r="I333" s="255">
        <f t="shared" si="11"/>
        <v>259.76416775909854</v>
      </c>
      <c r="J333" s="251">
        <f t="shared" si="10"/>
        <v>1.0694273158888334E-2</v>
      </c>
    </row>
    <row r="334" spans="9:10">
      <c r="I334" s="255">
        <f t="shared" si="11"/>
        <v>260.52333440515326</v>
      </c>
      <c r="J334" s="251">
        <f t="shared" si="10"/>
        <v>1.0679751855372281E-2</v>
      </c>
    </row>
    <row r="335" spans="9:10">
      <c r="I335" s="255">
        <f t="shared" si="11"/>
        <v>261.28250105120799</v>
      </c>
      <c r="J335" s="251">
        <f t="shared" si="10"/>
        <v>1.0665291830160298E-2</v>
      </c>
    </row>
    <row r="336" spans="9:10">
      <c r="I336" s="255">
        <f t="shared" si="11"/>
        <v>262.04166769726271</v>
      </c>
      <c r="J336" s="251">
        <f t="shared" si="10"/>
        <v>1.0650892646857231E-2</v>
      </c>
    </row>
    <row r="337" spans="9:10">
      <c r="I337" s="255">
        <f t="shared" si="11"/>
        <v>262.80083434331743</v>
      </c>
      <c r="J337" s="251">
        <f t="shared" si="10"/>
        <v>1.0636553873444504E-2</v>
      </c>
    </row>
    <row r="338" spans="9:10">
      <c r="I338" s="255">
        <f t="shared" si="11"/>
        <v>263.56000098937216</v>
      </c>
      <c r="J338" s="251">
        <f t="shared" si="10"/>
        <v>1.0622275082223525E-2</v>
      </c>
    </row>
    <row r="339" spans="9:10">
      <c r="I339" s="255">
        <f t="shared" si="11"/>
        <v>264.31916763542688</v>
      </c>
      <c r="J339" s="251">
        <f t="shared" si="10"/>
        <v>1.0608055849759965E-2</v>
      </c>
    </row>
    <row r="340" spans="9:10">
      <c r="I340" s="255">
        <f t="shared" si="11"/>
        <v>265.0783342814816</v>
      </c>
      <c r="J340" s="251">
        <f t="shared" si="10"/>
        <v>1.0593895756828956E-2</v>
      </c>
    </row>
    <row r="341" spans="9:10">
      <c r="I341" s="255">
        <f t="shared" si="11"/>
        <v>265.83750092753633</v>
      </c>
      <c r="J341" s="251">
        <f t="shared" si="10"/>
        <v>1.0579794388361109E-2</v>
      </c>
    </row>
    <row r="342" spans="9:10">
      <c r="I342" s="255">
        <f t="shared" si="11"/>
        <v>266.59666757359105</v>
      </c>
      <c r="J342" s="251">
        <f t="shared" si="10"/>
        <v>1.0565751333389417E-2</v>
      </c>
    </row>
    <row r="343" spans="9:10">
      <c r="I343" s="255">
        <f t="shared" si="11"/>
        <v>267.35583421964577</v>
      </c>
      <c r="J343" s="251">
        <f t="shared" si="10"/>
        <v>1.0551766184996954E-2</v>
      </c>
    </row>
    <row r="344" spans="9:10">
      <c r="I344" s="255">
        <f t="shared" si="11"/>
        <v>268.11500086570049</v>
      </c>
      <c r="J344" s="251">
        <f t="shared" si="10"/>
        <v>1.0537838540265425E-2</v>
      </c>
    </row>
    <row r="345" spans="9:10">
      <c r="I345" s="255">
        <f t="shared" si="11"/>
        <v>268.87416751175522</v>
      </c>
      <c r="J345" s="251">
        <f t="shared" si="10"/>
        <v>1.0523968000224483E-2</v>
      </c>
    </row>
    <row r="346" spans="9:10">
      <c r="I346" s="255">
        <f t="shared" si="11"/>
        <v>269.63333415780994</v>
      </c>
      <c r="J346" s="251">
        <f t="shared" si="10"/>
        <v>1.0510154169801856E-2</v>
      </c>
    </row>
    <row r="347" spans="9:10">
      <c r="I347" s="255">
        <f t="shared" si="11"/>
        <v>270.39250080386466</v>
      </c>
      <c r="J347" s="251">
        <f t="shared" si="10"/>
        <v>1.0496396657774229E-2</v>
      </c>
    </row>
    <row r="348" spans="9:10">
      <c r="I348" s="255">
        <f t="shared" si="11"/>
        <v>271.15166744991939</v>
      </c>
      <c r="J348" s="251">
        <f t="shared" si="10"/>
        <v>1.0482695076718899E-2</v>
      </c>
    </row>
    <row r="349" spans="9:10">
      <c r="I349" s="255">
        <f t="shared" si="11"/>
        <v>271.91083409597411</v>
      </c>
      <c r="J349" s="251">
        <f t="shared" si="10"/>
        <v>1.0469049042966158E-2</v>
      </c>
    </row>
    <row r="350" spans="9:10">
      <c r="I350" s="255">
        <f t="shared" si="11"/>
        <v>272.67000074202883</v>
      </c>
      <c r="J350" s="251">
        <f t="shared" si="10"/>
        <v>1.0455458176552414E-2</v>
      </c>
    </row>
    <row r="351" spans="9:10">
      <c r="I351" s="255">
        <f t="shared" si="11"/>
        <v>273.42916738808356</v>
      </c>
      <c r="J351" s="251">
        <f t="shared" si="10"/>
        <v>1.0441922101174032E-2</v>
      </c>
    </row>
    <row r="352" spans="9:10">
      <c r="I352" s="255">
        <f t="shared" si="11"/>
        <v>274.18833403413828</v>
      </c>
      <c r="J352" s="251">
        <f t="shared" si="10"/>
        <v>1.042844044414187E-2</v>
      </c>
    </row>
    <row r="353" spans="9:10">
      <c r="I353" s="255">
        <f t="shared" si="11"/>
        <v>274.947500680193</v>
      </c>
      <c r="J353" s="251">
        <f t="shared" si="10"/>
        <v>1.041501283633651E-2</v>
      </c>
    </row>
    <row r="354" spans="9:10">
      <c r="I354" s="255">
        <f t="shared" si="11"/>
        <v>275.70666732624773</v>
      </c>
      <c r="J354" s="251">
        <f t="shared" si="10"/>
        <v>1.040163891216417E-2</v>
      </c>
    </row>
    <row r="355" spans="9:10">
      <c r="I355" s="255">
        <f t="shared" si="11"/>
        <v>276.46583397230245</v>
      </c>
      <c r="J355" s="251">
        <f t="shared" si="10"/>
        <v>1.0388318309513284E-2</v>
      </c>
    </row>
    <row r="356" spans="9:10">
      <c r="I356" s="255">
        <f t="shared" si="11"/>
        <v>277.22500061835717</v>
      </c>
      <c r="J356" s="251">
        <f t="shared" si="10"/>
        <v>1.0375050669711722E-2</v>
      </c>
    </row>
    <row r="357" spans="9:10">
      <c r="I357" s="255">
        <f t="shared" si="11"/>
        <v>277.98416726441189</v>
      </c>
      <c r="J357" s="251">
        <f t="shared" si="10"/>
        <v>1.0361835637484674E-2</v>
      </c>
    </row>
    <row r="358" spans="9:10">
      <c r="I358" s="255">
        <f t="shared" si="11"/>
        <v>278.74333391046662</v>
      </c>
      <c r="J358" s="251">
        <f t="shared" si="10"/>
        <v>1.0348672860913155E-2</v>
      </c>
    </row>
    <row r="359" spans="9:10">
      <c r="I359" s="255">
        <f t="shared" si="11"/>
        <v>279.50250055652134</v>
      </c>
      <c r="J359" s="251">
        <f t="shared" si="10"/>
        <v>1.0335561991393129E-2</v>
      </c>
    </row>
    <row r="360" spans="9:10">
      <c r="I360" s="255">
        <f t="shared" si="11"/>
        <v>280.26166720257606</v>
      </c>
      <c r="J360" s="251">
        <f t="shared" si="10"/>
        <v>1.0322502683595233E-2</v>
      </c>
    </row>
    <row r="361" spans="9:10">
      <c r="I361" s="255">
        <f t="shared" si="11"/>
        <v>281.02083384863079</v>
      </c>
      <c r="J361" s="251">
        <f t="shared" si="10"/>
        <v>1.0309494595425135E-2</v>
      </c>
    </row>
    <row r="362" spans="9:10">
      <c r="I362" s="255">
        <f t="shared" si="11"/>
        <v>281.78000049468551</v>
      </c>
      <c r="J362" s="251">
        <f t="shared" si="10"/>
        <v>1.0296537387984432E-2</v>
      </c>
    </row>
    <row r="363" spans="9:10">
      <c r="I363" s="255">
        <f t="shared" si="11"/>
        <v>282.53916714074023</v>
      </c>
      <c r="J363" s="251">
        <f t="shared" si="10"/>
        <v>1.0283630725532162E-2</v>
      </c>
    </row>
    <row r="364" spans="9:10">
      <c r="I364" s="255">
        <f t="shared" si="11"/>
        <v>283.29833378679496</v>
      </c>
      <c r="J364" s="251">
        <f t="shared" si="10"/>
        <v>1.0270774275446867E-2</v>
      </c>
    </row>
    <row r="365" spans="9:10">
      <c r="I365" s="255">
        <f t="shared" si="11"/>
        <v>284.05750043284968</v>
      </c>
      <c r="J365" s="251">
        <f t="shared" si="10"/>
        <v>1.0257967708189219E-2</v>
      </c>
    </row>
    <row r="366" spans="9:10">
      <c r="I366" s="255">
        <f t="shared" si="11"/>
        <v>284.8166670789044</v>
      </c>
      <c r="J366" s="251">
        <f t="shared" si="10"/>
        <v>1.0245210697265193E-2</v>
      </c>
    </row>
    <row r="367" spans="9:10">
      <c r="I367" s="255">
        <f t="shared" si="11"/>
        <v>285.57583372495912</v>
      </c>
      <c r="J367" s="251">
        <f t="shared" si="10"/>
        <v>1.0232502919189779E-2</v>
      </c>
    </row>
    <row r="368" spans="9:10">
      <c r="I368" s="255">
        <f t="shared" si="11"/>
        <v>286.33500037101385</v>
      </c>
      <c r="J368" s="251">
        <f t="shared" si="10"/>
        <v>1.0219844053451221E-2</v>
      </c>
    </row>
    <row r="369" spans="9:10">
      <c r="I369" s="255">
        <f t="shared" si="11"/>
        <v>287.09416701706857</v>
      </c>
      <c r="J369" s="251">
        <f t="shared" si="10"/>
        <v>1.0207233782475782E-2</v>
      </c>
    </row>
    <row r="370" spans="9:10">
      <c r="I370" s="255">
        <f t="shared" si="11"/>
        <v>287.85333366312329</v>
      </c>
      <c r="J370" s="251">
        <f t="shared" si="10"/>
        <v>1.0194671791593005E-2</v>
      </c>
    </row>
    <row r="371" spans="9:10">
      <c r="I371" s="255">
        <f t="shared" si="11"/>
        <v>288.61250030917802</v>
      </c>
      <c r="J371" s="251">
        <f t="shared" si="10"/>
        <v>1.0182157769001504E-2</v>
      </c>
    </row>
    <row r="372" spans="9:10">
      <c r="I372" s="255">
        <f t="shared" si="11"/>
        <v>289.37166695523274</v>
      </c>
      <c r="J372" s="251">
        <f t="shared" si="10"/>
        <v>1.0169691405735216E-2</v>
      </c>
    </row>
    <row r="373" spans="9:10">
      <c r="I373" s="255">
        <f t="shared" si="11"/>
        <v>290.13083360128746</v>
      </c>
      <c r="J373" s="251">
        <f t="shared" si="10"/>
        <v>1.0157272395630171E-2</v>
      </c>
    </row>
    <row r="374" spans="9:10">
      <c r="I374" s="255">
        <f t="shared" si="11"/>
        <v>290.89000024734219</v>
      </c>
      <c r="J374" s="251">
        <f t="shared" si="10"/>
        <v>1.0144900435291704E-2</v>
      </c>
    </row>
    <row r="375" spans="9:10">
      <c r="I375" s="255">
        <f t="shared" si="11"/>
        <v>291.64916689339691</v>
      </c>
      <c r="J375" s="251">
        <f t="shared" si="10"/>
        <v>1.0132575224062171E-2</v>
      </c>
    </row>
    <row r="376" spans="9:10">
      <c r="I376" s="255">
        <f t="shared" si="11"/>
        <v>292.40833353945163</v>
      </c>
      <c r="J376" s="251">
        <f t="shared" si="10"/>
        <v>1.0120296463989105E-2</v>
      </c>
    </row>
    <row r="377" spans="9:10">
      <c r="I377" s="255">
        <f t="shared" si="11"/>
        <v>293.16750018550636</v>
      </c>
      <c r="J377" s="251">
        <f t="shared" si="10"/>
        <v>1.010806385979382E-2</v>
      </c>
    </row>
    <row r="378" spans="9:10">
      <c r="I378" s="255">
        <f t="shared" si="11"/>
        <v>293.92666683156108</v>
      </c>
      <c r="J378" s="251">
        <f t="shared" si="10"/>
        <v>1.0095877118840491E-2</v>
      </c>
    </row>
    <row r="379" spans="9:10">
      <c r="I379" s="255">
        <f t="shared" si="11"/>
        <v>294.6858334776158</v>
      </c>
      <c r="J379" s="251">
        <f t="shared" si="10"/>
        <v>1.0083735951105635E-2</v>
      </c>
    </row>
    <row r="380" spans="9:10">
      <c r="I380" s="255">
        <f t="shared" si="11"/>
        <v>295.44500012367052</v>
      </c>
      <c r="J380" s="251">
        <f t="shared" si="10"/>
        <v>1.0071640069148043E-2</v>
      </c>
    </row>
    <row r="381" spans="9:10">
      <c r="I381" s="255">
        <f t="shared" si="11"/>
        <v>296.20416676972525</v>
      </c>
      <c r="J381" s="251">
        <f t="shared" si="10"/>
        <v>1.0059589188079143E-2</v>
      </c>
    </row>
    <row r="382" spans="9:10">
      <c r="I382" s="255">
        <f t="shared" si="11"/>
        <v>296.96333341577997</v>
      </c>
      <c r="J382" s="251">
        <f t="shared" si="10"/>
        <v>1.0047583025533756E-2</v>
      </c>
    </row>
    <row r="383" spans="9:10">
      <c r="I383" s="255">
        <f t="shared" si="11"/>
        <v>297.72250006183469</v>
      </c>
      <c r="J383" s="251">
        <f t="shared" si="10"/>
        <v>1.0035621301641285E-2</v>
      </c>
    </row>
    <row r="384" spans="9:10">
      <c r="I384" s="255">
        <f t="shared" si="11"/>
        <v>298.48166670788942</v>
      </c>
      <c r="J384" s="251">
        <f t="shared" si="10"/>
        <v>1.0023703738997289E-2</v>
      </c>
    </row>
    <row r="385" spans="7:10">
      <c r="I385" s="255">
        <f t="shared" si="11"/>
        <v>299.24083335394414</v>
      </c>
      <c r="J385" s="251">
        <f t="shared" si="10"/>
        <v>1.0011830062635466E-2</v>
      </c>
    </row>
    <row r="386" spans="7:10">
      <c r="I386" s="256">
        <f>B6</f>
        <v>300</v>
      </c>
      <c r="J386" s="251">
        <f t="shared" si="10"/>
        <v>0.01</v>
      </c>
    </row>
    <row r="391" spans="7:10">
      <c r="G391" s="256"/>
    </row>
    <row r="392" spans="7:10">
      <c r="G392" s="256"/>
    </row>
    <row r="393" spans="7:10">
      <c r="G393" s="256"/>
    </row>
    <row r="394" spans="7:10">
      <c r="G394" s="256"/>
    </row>
    <row r="395" spans="7:10">
      <c r="G395" s="256"/>
    </row>
    <row r="396" spans="7:10">
      <c r="G396" s="256"/>
    </row>
    <row r="397" spans="7:10">
      <c r="G397" s="256"/>
    </row>
    <row r="398" spans="7:10">
      <c r="G398" s="256"/>
    </row>
    <row r="399" spans="7:10">
      <c r="G399" s="256"/>
    </row>
    <row r="400" spans="7:10">
      <c r="G400" s="256"/>
    </row>
    <row r="401" spans="7:7">
      <c r="G401" s="256"/>
    </row>
    <row r="402" spans="7:7">
      <c r="G402" s="256"/>
    </row>
    <row r="403" spans="7:7">
      <c r="G403" s="256"/>
    </row>
    <row r="404" spans="7:7">
      <c r="G404" s="256"/>
    </row>
    <row r="405" spans="7:7">
      <c r="G405" s="256"/>
    </row>
    <row r="406" spans="7:7">
      <c r="G406" s="256"/>
    </row>
    <row r="407" spans="7:7">
      <c r="G407" s="256"/>
    </row>
    <row r="408" spans="7:7">
      <c r="G408" s="256"/>
    </row>
    <row r="409" spans="7:7">
      <c r="G409" s="256"/>
    </row>
    <row r="410" spans="7:7">
      <c r="G410" s="256"/>
    </row>
    <row r="411" spans="7:7">
      <c r="G411" s="256"/>
    </row>
    <row r="412" spans="7:7">
      <c r="G412" s="256"/>
    </row>
    <row r="413" spans="7:7">
      <c r="G413" s="256"/>
    </row>
    <row r="414" spans="7:7">
      <c r="G414" s="256"/>
    </row>
    <row r="415" spans="7:7">
      <c r="G415" s="256"/>
    </row>
    <row r="416" spans="7:7">
      <c r="G416" s="256"/>
    </row>
    <row r="417" spans="7:7">
      <c r="G417" s="256"/>
    </row>
    <row r="418" spans="7:7">
      <c r="G418" s="256"/>
    </row>
    <row r="419" spans="7:7">
      <c r="G419" s="256"/>
    </row>
    <row r="420" spans="7:7">
      <c r="G420" s="256"/>
    </row>
    <row r="421" spans="7:7">
      <c r="G421" s="256"/>
    </row>
    <row r="422" spans="7:7">
      <c r="G422" s="256"/>
    </row>
    <row r="423" spans="7:7">
      <c r="G423" s="256"/>
    </row>
    <row r="424" spans="7:7">
      <c r="G424" s="256"/>
    </row>
    <row r="425" spans="7:7">
      <c r="G425" s="256"/>
    </row>
    <row r="426" spans="7:7">
      <c r="G426" s="256"/>
    </row>
    <row r="427" spans="7:7">
      <c r="G427" s="256"/>
    </row>
    <row r="428" spans="7:7">
      <c r="G428" s="256"/>
    </row>
    <row r="429" spans="7:7">
      <c r="G429" s="256"/>
    </row>
    <row r="430" spans="7:7">
      <c r="G430" s="256"/>
    </row>
    <row r="431" spans="7:7">
      <c r="G431" s="256"/>
    </row>
    <row r="432" spans="7:7">
      <c r="G432" s="256"/>
    </row>
    <row r="433" spans="7:7">
      <c r="G433" s="256"/>
    </row>
    <row r="434" spans="7:7">
      <c r="G434" s="256"/>
    </row>
    <row r="435" spans="7:7">
      <c r="G435" s="256"/>
    </row>
    <row r="436" spans="7:7">
      <c r="G436" s="256"/>
    </row>
    <row r="437" spans="7:7">
      <c r="G437" s="256"/>
    </row>
    <row r="438" spans="7:7">
      <c r="G438" s="256"/>
    </row>
    <row r="439" spans="7:7">
      <c r="G439" s="256"/>
    </row>
    <row r="440" spans="7:7">
      <c r="G440" s="256"/>
    </row>
    <row r="441" spans="7:7">
      <c r="G441" s="256"/>
    </row>
    <row r="442" spans="7:7">
      <c r="G442" s="256"/>
    </row>
    <row r="443" spans="7:7">
      <c r="G443" s="256"/>
    </row>
    <row r="444" spans="7:7">
      <c r="G444" s="256"/>
    </row>
    <row r="445" spans="7:7">
      <c r="G445" s="256"/>
    </row>
    <row r="446" spans="7:7">
      <c r="G446" s="256"/>
    </row>
    <row r="447" spans="7:7">
      <c r="G447" s="256"/>
    </row>
    <row r="448" spans="7:7">
      <c r="G448" s="256"/>
    </row>
    <row r="449" spans="7:7">
      <c r="G449" s="256"/>
    </row>
    <row r="450" spans="7:7">
      <c r="G450" s="256"/>
    </row>
    <row r="451" spans="7:7">
      <c r="G451" s="256"/>
    </row>
    <row r="452" spans="7:7">
      <c r="G452" s="256"/>
    </row>
    <row r="453" spans="7:7">
      <c r="G453" s="256"/>
    </row>
    <row r="454" spans="7:7">
      <c r="G454" s="256"/>
    </row>
    <row r="455" spans="7:7">
      <c r="G455" s="256"/>
    </row>
    <row r="456" spans="7:7">
      <c r="G456" s="256"/>
    </row>
    <row r="457" spans="7:7">
      <c r="G457" s="256"/>
    </row>
    <row r="458" spans="7:7">
      <c r="G458" s="256"/>
    </row>
    <row r="459" spans="7:7">
      <c r="G459" s="256"/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48130" r:id="rId4"/>
  </oleObjects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8"/>
  <dimension ref="B2:Q60"/>
  <sheetViews>
    <sheetView topLeftCell="A37" zoomScaleNormal="100" workbookViewId="0">
      <selection activeCell="C53" sqref="C53"/>
    </sheetView>
  </sheetViews>
  <sheetFormatPr baseColWidth="10" defaultRowHeight="15"/>
  <cols>
    <col min="2" max="2" width="23.85546875" customWidth="1"/>
    <col min="3" max="3" width="17.5703125" customWidth="1"/>
    <col min="4" max="4" width="13.85546875" bestFit="1" customWidth="1"/>
    <col min="5" max="5" width="11.5703125" bestFit="1" customWidth="1"/>
    <col min="6" max="6" width="12.85546875" bestFit="1" customWidth="1"/>
    <col min="7" max="7" width="13.28515625" bestFit="1" customWidth="1"/>
    <col min="8" max="8" width="14.42578125" bestFit="1" customWidth="1"/>
    <col min="9" max="9" width="13.28515625" bestFit="1" customWidth="1"/>
    <col min="10" max="10" width="12.85546875" bestFit="1" customWidth="1"/>
    <col min="11" max="11" width="13.28515625" bestFit="1" customWidth="1"/>
    <col min="14" max="14" width="11.5703125" bestFit="1" customWidth="1"/>
    <col min="15" max="15" width="14.42578125" bestFit="1" customWidth="1"/>
  </cols>
  <sheetData>
    <row r="2" spans="2:11" ht="30">
      <c r="B2" s="236" t="s">
        <v>252</v>
      </c>
      <c r="C2" s="237">
        <v>0.1</v>
      </c>
    </row>
    <row r="4" spans="2:11" ht="30">
      <c r="B4" s="188" t="s">
        <v>218</v>
      </c>
      <c r="C4" s="299">
        <f>DEMANDA!F67</f>
        <v>0.83333333333333337</v>
      </c>
      <c r="D4" s="189" t="s">
        <v>209</v>
      </c>
      <c r="E4" s="189" t="s">
        <v>217</v>
      </c>
      <c r="F4" s="189" t="s">
        <v>208</v>
      </c>
      <c r="G4" s="189" t="s">
        <v>217</v>
      </c>
      <c r="H4" s="189" t="s">
        <v>207</v>
      </c>
      <c r="I4" s="189" t="s">
        <v>217</v>
      </c>
    </row>
    <row r="5" spans="2:11" ht="30">
      <c r="B5" s="188" t="s">
        <v>250</v>
      </c>
      <c r="C5" s="310">
        <v>0.5</v>
      </c>
      <c r="D5" s="322">
        <v>2</v>
      </c>
      <c r="E5" s="189" t="s">
        <v>211</v>
      </c>
      <c r="F5" s="322">
        <v>0</v>
      </c>
      <c r="G5" s="323" t="s">
        <v>216</v>
      </c>
      <c r="H5" s="322">
        <v>0</v>
      </c>
      <c r="I5" s="189" t="s">
        <v>211</v>
      </c>
      <c r="K5" s="78"/>
    </row>
    <row r="6" spans="2:11" ht="30">
      <c r="B6" s="188" t="s">
        <v>215</v>
      </c>
      <c r="C6" s="310">
        <v>0.5</v>
      </c>
      <c r="D6" s="312">
        <v>2</v>
      </c>
      <c r="E6" s="189" t="s">
        <v>211</v>
      </c>
      <c r="F6" s="322">
        <v>0</v>
      </c>
      <c r="G6" s="323" t="s">
        <v>211</v>
      </c>
      <c r="H6" s="322">
        <v>0</v>
      </c>
      <c r="I6" s="189" t="s">
        <v>211</v>
      </c>
    </row>
    <row r="7" spans="2:11" ht="30">
      <c r="B7" s="188" t="s">
        <v>214</v>
      </c>
      <c r="C7" s="310">
        <v>0.5</v>
      </c>
      <c r="D7" s="312">
        <v>2</v>
      </c>
      <c r="E7" s="189" t="s">
        <v>211</v>
      </c>
      <c r="F7" s="322">
        <v>0</v>
      </c>
      <c r="G7" s="323" t="s">
        <v>211</v>
      </c>
      <c r="H7" s="322">
        <v>0</v>
      </c>
      <c r="I7" s="189" t="s">
        <v>211</v>
      </c>
    </row>
    <row r="8" spans="2:11" ht="30">
      <c r="B8" s="188" t="s">
        <v>213</v>
      </c>
      <c r="C8" s="311">
        <v>1000</v>
      </c>
      <c r="D8" s="312">
        <v>2</v>
      </c>
      <c r="E8" s="189" t="s">
        <v>211</v>
      </c>
      <c r="F8" s="322">
        <v>0</v>
      </c>
      <c r="G8" s="323" t="s">
        <v>211</v>
      </c>
      <c r="H8" s="322">
        <v>0</v>
      </c>
      <c r="I8" s="189" t="s">
        <v>211</v>
      </c>
    </row>
    <row r="9" spans="2:11" ht="30">
      <c r="B9" s="188" t="s">
        <v>212</v>
      </c>
      <c r="C9" s="310">
        <v>0.5</v>
      </c>
      <c r="D9" s="312">
        <v>2</v>
      </c>
      <c r="E9" s="189" t="s">
        <v>211</v>
      </c>
      <c r="F9" s="322">
        <v>0</v>
      </c>
      <c r="G9" s="323" t="s">
        <v>211</v>
      </c>
      <c r="H9" s="322">
        <v>0</v>
      </c>
      <c r="I9" s="189" t="s">
        <v>211</v>
      </c>
    </row>
    <row r="11" spans="2:11" ht="30">
      <c r="B11" s="188" t="s">
        <v>210</v>
      </c>
      <c r="C11" s="310">
        <v>0.6</v>
      </c>
    </row>
    <row r="15" spans="2:11">
      <c r="B15" s="141" t="s">
        <v>140</v>
      </c>
      <c r="D15" s="238">
        <f>+D19/C19</f>
        <v>9.5177338615897902E-2</v>
      </c>
    </row>
    <row r="16" spans="2:11">
      <c r="B16" s="187" t="s">
        <v>47</v>
      </c>
    </row>
    <row r="17" spans="2:17" ht="30">
      <c r="B17" s="181" t="s">
        <v>166</v>
      </c>
      <c r="C17" s="181" t="s">
        <v>204</v>
      </c>
      <c r="D17" s="181" t="s">
        <v>203</v>
      </c>
      <c r="E17" s="180" t="s">
        <v>202</v>
      </c>
      <c r="F17" s="180" t="s">
        <v>201</v>
      </c>
      <c r="G17" s="180" t="s">
        <v>200</v>
      </c>
      <c r="H17" s="186" t="s">
        <v>209</v>
      </c>
      <c r="I17" s="186" t="s">
        <v>208</v>
      </c>
      <c r="J17" s="186" t="s">
        <v>207</v>
      </c>
      <c r="K17" s="186" t="s">
        <v>206</v>
      </c>
    </row>
    <row r="18" spans="2:17">
      <c r="B18" s="177" t="s">
        <v>199</v>
      </c>
      <c r="C18" s="176">
        <f>DEMANDA!C23</f>
        <v>7303220</v>
      </c>
      <c r="H18" s="185"/>
      <c r="I18" s="185"/>
      <c r="J18" s="185"/>
      <c r="K18" s="179"/>
    </row>
    <row r="19" spans="2:17">
      <c r="B19" s="177" t="s">
        <v>198</v>
      </c>
      <c r="C19" s="176">
        <f>DEMANDA!O58</f>
        <v>8538400133.1746788</v>
      </c>
      <c r="D19" s="176">
        <f>DEMANDA!C71</f>
        <v>812662200.71319413</v>
      </c>
      <c r="E19" s="157">
        <f>DEMANDA!E67</f>
        <v>31</v>
      </c>
      <c r="F19" s="157">
        <f>+D19/E19</f>
        <v>26214909.700425617</v>
      </c>
      <c r="G19" s="178">
        <f>+F19*$C$2</f>
        <v>2621490.9700425621</v>
      </c>
    </row>
    <row r="20" spans="2:17" ht="18.75">
      <c r="B20" s="177" t="s">
        <v>197</v>
      </c>
      <c r="C20" s="176"/>
      <c r="D20" s="176"/>
      <c r="E20" s="157"/>
      <c r="F20" s="157"/>
      <c r="G20" s="178">
        <f>+G19/$C$4</f>
        <v>3145789.1640510745</v>
      </c>
      <c r="H20" s="175">
        <f>ROUNDUP(+G20*D5,0)</f>
        <v>6291579</v>
      </c>
      <c r="I20" s="127">
        <f>ROUNDUP($F$5*G20,0)</f>
        <v>0</v>
      </c>
      <c r="J20" s="175">
        <f>ROUNDUP(+G20*H5,0)</f>
        <v>0</v>
      </c>
      <c r="K20" s="127">
        <f>SUM(H20:J20)</f>
        <v>6291579</v>
      </c>
      <c r="L20" s="195">
        <f>K20/$K$25</f>
        <v>0.11711658147999733</v>
      </c>
      <c r="M20" s="231">
        <f>L20/SUM(L20:L22)</f>
        <v>0.1192695845298135</v>
      </c>
      <c r="P20" s="59"/>
      <c r="Q20" s="229"/>
    </row>
    <row r="21" spans="2:17">
      <c r="B21" s="177" t="s">
        <v>62</v>
      </c>
      <c r="C21" s="176">
        <f>DEMANDA!O98</f>
        <v>7631885861</v>
      </c>
      <c r="D21" s="176">
        <f>DEMANDA!C106</f>
        <v>1300175353</v>
      </c>
      <c r="E21" s="157">
        <f>DEMANDA!D105</f>
        <v>28</v>
      </c>
      <c r="F21" s="157">
        <f>+D21/E21</f>
        <v>46434834.035714284</v>
      </c>
      <c r="G21" s="178">
        <f>+F21*$C$6</f>
        <v>23217417.017857142</v>
      </c>
      <c r="H21" s="175">
        <f>ROUNDUP(+G21*D6,0)</f>
        <v>46434835</v>
      </c>
      <c r="I21" s="175">
        <f>+G21*F6</f>
        <v>0</v>
      </c>
      <c r="J21" s="175">
        <f>ROUNDUP(+G21*H6,0)</f>
        <v>0</v>
      </c>
      <c r="K21" s="175">
        <f>SUM(H21:J21)</f>
        <v>46434835</v>
      </c>
      <c r="L21" s="195">
        <f>K21/$K$25</f>
        <v>0.86437588032952173</v>
      </c>
      <c r="M21" s="230"/>
      <c r="P21" s="59"/>
      <c r="Q21" s="229"/>
    </row>
    <row r="22" spans="2:17">
      <c r="B22" s="177" t="s">
        <v>63</v>
      </c>
      <c r="C22" s="176">
        <f>DEMANDA!O125</f>
        <v>5653256</v>
      </c>
      <c r="D22" s="176">
        <f>DEMANDA!C133</f>
        <v>734826</v>
      </c>
      <c r="E22" s="157">
        <f>DEMANDA!D132</f>
        <v>30</v>
      </c>
      <c r="F22" s="157">
        <f>+D22/E22</f>
        <v>24494.2</v>
      </c>
      <c r="G22" s="178">
        <f>+F22*$C$7</f>
        <v>12247.1</v>
      </c>
      <c r="H22" s="175">
        <f>ROUNDUP(+G22*D7,0)</f>
        <v>24495</v>
      </c>
      <c r="I22" s="175">
        <f>+G22*F7</f>
        <v>0</v>
      </c>
      <c r="J22" s="175">
        <f>ROUNDUP(+G22*H7,0)</f>
        <v>0</v>
      </c>
      <c r="K22" s="175">
        <f>SUM(H22:J22)</f>
        <v>24495</v>
      </c>
      <c r="L22" s="195">
        <f>K22/$K$25</f>
        <v>4.5596990252407774E-4</v>
      </c>
      <c r="P22" s="59"/>
      <c r="Q22" s="229"/>
    </row>
    <row r="23" spans="2:17">
      <c r="B23" s="177" t="s">
        <v>196</v>
      </c>
      <c r="C23" s="176"/>
      <c r="D23" s="176"/>
      <c r="E23" s="157"/>
      <c r="F23" s="157"/>
      <c r="G23" s="178">
        <f>+C8</f>
        <v>1000</v>
      </c>
      <c r="H23" s="175">
        <f>ROUNDUP(+G23*D8,0)</f>
        <v>2000</v>
      </c>
      <c r="I23" s="175">
        <f>+G23*F8</f>
        <v>0</v>
      </c>
      <c r="J23" s="175">
        <f>ROUNDUP(+G23*H8,0)</f>
        <v>0</v>
      </c>
      <c r="K23" s="175">
        <f>SUM(H23:J23)</f>
        <v>2000</v>
      </c>
      <c r="L23" s="195">
        <f>K23/$K$25</f>
        <v>3.7229630742933474E-5</v>
      </c>
      <c r="M23" s="230"/>
      <c r="P23" s="59"/>
      <c r="Q23" s="229"/>
    </row>
    <row r="24" spans="2:17">
      <c r="B24" s="177" t="s">
        <v>195</v>
      </c>
      <c r="C24" s="313">
        <v>300000000</v>
      </c>
      <c r="D24" s="313">
        <v>30000000</v>
      </c>
      <c r="E24" s="307">
        <v>31</v>
      </c>
      <c r="F24" s="157">
        <f>+D24/E24</f>
        <v>967741.93548387091</v>
      </c>
      <c r="G24" s="178">
        <f>+F24*$C$9</f>
        <v>483870.96774193546</v>
      </c>
      <c r="H24" s="175">
        <f>ROUNDUP(+G24*D9,0)</f>
        <v>967742</v>
      </c>
      <c r="I24" s="175">
        <f>+G24*F9</f>
        <v>0</v>
      </c>
      <c r="J24" s="175">
        <f>ROUNDUP(+G24*H9,0)</f>
        <v>0</v>
      </c>
      <c r="K24" s="175">
        <f>SUM(H24:J24)</f>
        <v>967742</v>
      </c>
      <c r="L24" s="195">
        <f>K24/$K$25</f>
        <v>1.8014338657213965E-2</v>
      </c>
      <c r="M24" s="230"/>
    </row>
    <row r="25" spans="2:17" ht="15.75">
      <c r="G25" s="78">
        <f>SUM(G20:G24)</f>
        <v>26860324.249650154</v>
      </c>
      <c r="H25" s="78">
        <f t="shared" ref="H25:J25" si="0">SUM(H20:H24)</f>
        <v>53720651</v>
      </c>
      <c r="I25" s="78">
        <f t="shared" si="0"/>
        <v>0</v>
      </c>
      <c r="J25" s="78">
        <f t="shared" si="0"/>
        <v>0</v>
      </c>
      <c r="K25" s="235">
        <f>SUM(K20:K24)</f>
        <v>53720651</v>
      </c>
    </row>
    <row r="26" spans="2:17">
      <c r="I26" s="239">
        <f>J26*$C$4</f>
        <v>19358054.166666668</v>
      </c>
      <c r="J26" s="239">
        <f>K26/D5</f>
        <v>23229665</v>
      </c>
      <c r="K26" s="59">
        <f>SUM(K21:K22)</f>
        <v>46459330</v>
      </c>
    </row>
    <row r="27" spans="2:17">
      <c r="B27" s="141" t="s">
        <v>140</v>
      </c>
      <c r="C27" s="183" t="s">
        <v>152</v>
      </c>
      <c r="D27" s="183" t="s">
        <v>205</v>
      </c>
      <c r="O27" s="289"/>
    </row>
    <row r="28" spans="2:17">
      <c r="B28" s="143" t="s">
        <v>187</v>
      </c>
      <c r="C28" s="182">
        <f>DEMANDA!D75</f>
        <v>0.12271642245867087</v>
      </c>
      <c r="D28" s="182">
        <f>DEMANDA!D137</f>
        <v>0.12781406897986988</v>
      </c>
      <c r="I28">
        <f>+G19/(G19+I26)</f>
        <v>0.11926957331179107</v>
      </c>
    </row>
    <row r="29" spans="2:17" ht="25.5">
      <c r="B29" s="181" t="s">
        <v>166</v>
      </c>
      <c r="C29" s="181" t="s">
        <v>204</v>
      </c>
      <c r="D29" s="181" t="s">
        <v>203</v>
      </c>
      <c r="E29" s="180" t="s">
        <v>202</v>
      </c>
      <c r="F29" s="180" t="s">
        <v>201</v>
      </c>
      <c r="G29" s="180" t="s">
        <v>200</v>
      </c>
    </row>
    <row r="30" spans="2:17">
      <c r="B30" s="177" t="s">
        <v>199</v>
      </c>
      <c r="C30" s="176">
        <f>DEMANDA!C183</f>
        <v>941841</v>
      </c>
      <c r="K30" s="179"/>
    </row>
    <row r="31" spans="2:17">
      <c r="B31" s="177" t="s">
        <v>198</v>
      </c>
      <c r="C31" s="176">
        <f>+C$19*$C28</f>
        <v>1047801917.8638355</v>
      </c>
      <c r="D31" s="176">
        <f>+D$19*$C28</f>
        <v>99726997.938913509</v>
      </c>
      <c r="E31" s="157">
        <f>+E$19</f>
        <v>31</v>
      </c>
      <c r="F31" s="157">
        <f>+D31/E31</f>
        <v>3216999.9335133391</v>
      </c>
      <c r="G31" s="178">
        <f>+F31*$C$5</f>
        <v>1608499.9667566696</v>
      </c>
    </row>
    <row r="32" spans="2:17">
      <c r="B32" s="177" t="s">
        <v>197</v>
      </c>
      <c r="C32" s="176"/>
      <c r="D32" s="176"/>
      <c r="E32" s="157"/>
      <c r="F32" s="157"/>
      <c r="G32" s="178">
        <f>+G31/$C$4</f>
        <v>1930199.9601080033</v>
      </c>
      <c r="H32" s="175">
        <f>ROUNDUP(+G32*D5,0)</f>
        <v>3860400</v>
      </c>
      <c r="I32" s="127">
        <f>ROUNDUP($F$5*G32,0)</f>
        <v>0</v>
      </c>
      <c r="J32" s="175">
        <f>ROUNDUP(+G32*H5,0)</f>
        <v>0</v>
      </c>
      <c r="K32" s="175">
        <f>SUM(H32:J32)</f>
        <v>3860400</v>
      </c>
    </row>
    <row r="33" spans="2:11">
      <c r="B33" s="177" t="s">
        <v>62</v>
      </c>
      <c r="C33" s="176">
        <f>+C$21*$D28</f>
        <v>975462385.88434768</v>
      </c>
      <c r="D33" s="176">
        <f>+D$21*$D28</f>
        <v>166180702.25426868</v>
      </c>
      <c r="E33" s="157">
        <f>+E$21</f>
        <v>28</v>
      </c>
      <c r="F33" s="157">
        <f>+D33/E33</f>
        <v>5935025.0805095956</v>
      </c>
      <c r="G33" s="178">
        <f>+F33*$C$6</f>
        <v>2967512.5402547978</v>
      </c>
      <c r="H33" s="175">
        <f>ROUNDUP(+G33*D6,0)</f>
        <v>5935026</v>
      </c>
      <c r="I33" s="175">
        <f>+G33*F6</f>
        <v>0</v>
      </c>
      <c r="J33" s="175">
        <f>ROUNDUP(+G33*H6,0)</f>
        <v>0</v>
      </c>
      <c r="K33" s="175">
        <f>SUM(H33:J33)</f>
        <v>5935026</v>
      </c>
    </row>
    <row r="34" spans="2:11">
      <c r="B34" s="177" t="s">
        <v>63</v>
      </c>
      <c r="C34" s="176">
        <f>+C$22*$D28</f>
        <v>722565.65234486328</v>
      </c>
      <c r="D34" s="176">
        <f>+D$22*$D28</f>
        <v>93921.101052201862</v>
      </c>
      <c r="E34" s="157">
        <f>+E$22</f>
        <v>30</v>
      </c>
      <c r="F34" s="157">
        <f>+D34/E34</f>
        <v>3130.7033684067287</v>
      </c>
      <c r="G34" s="178">
        <f>+F34*$C$7</f>
        <v>1565.3516842033644</v>
      </c>
      <c r="H34" s="175">
        <f>ROUNDUP(+G34*D7,0)</f>
        <v>3131</v>
      </c>
      <c r="I34" s="175">
        <f>+G34*F7</f>
        <v>0</v>
      </c>
      <c r="J34" s="175">
        <f>ROUNDUP(+G34*H7,0)</f>
        <v>0</v>
      </c>
      <c r="K34" s="175">
        <f>SUM(H34:J34)</f>
        <v>3131</v>
      </c>
    </row>
    <row r="35" spans="2:11">
      <c r="B35" s="177" t="s">
        <v>196</v>
      </c>
      <c r="C35" s="176"/>
      <c r="D35" s="176"/>
      <c r="E35" s="157"/>
      <c r="F35" s="157"/>
      <c r="G35" s="157">
        <f>ROUNDUP(G$23*C30/C$18,0)</f>
        <v>129</v>
      </c>
      <c r="H35" s="175">
        <f>ROUNDUP(+G35*D8,0)</f>
        <v>258</v>
      </c>
      <c r="I35" s="175">
        <f>+G35*F8</f>
        <v>0</v>
      </c>
      <c r="J35" s="175">
        <f>ROUNDUP(+G35*H8,0)</f>
        <v>0</v>
      </c>
      <c r="K35" s="175">
        <f>SUM(H35:J35)</f>
        <v>258</v>
      </c>
    </row>
    <row r="36" spans="2:11">
      <c r="B36" s="177" t="s">
        <v>195</v>
      </c>
      <c r="C36" s="176"/>
      <c r="D36" s="176"/>
      <c r="E36" s="157"/>
      <c r="F36" s="157"/>
      <c r="G36" s="157">
        <f>ROUNDUP(G$24*C30/C$18,0)</f>
        <v>62402</v>
      </c>
      <c r="H36" s="175">
        <f>ROUNDUP(+G36*D9,0)</f>
        <v>124804</v>
      </c>
      <c r="I36" s="175">
        <f>+G36*F9</f>
        <v>0</v>
      </c>
      <c r="J36" s="175">
        <f>ROUNDUP(+G36*H9,0)</f>
        <v>0</v>
      </c>
      <c r="K36" s="175">
        <f>SUM(H36:J36)</f>
        <v>124804</v>
      </c>
    </row>
    <row r="37" spans="2:11" ht="15.75">
      <c r="G37" s="78">
        <f>SUM(G32:G36)</f>
        <v>4961808.8520470047</v>
      </c>
      <c r="H37" s="78">
        <f t="shared" ref="H37" si="1">SUM(H32:H36)</f>
        <v>9923619</v>
      </c>
      <c r="I37" s="78">
        <f t="shared" ref="I37" si="2">SUM(I32:I36)</f>
        <v>0</v>
      </c>
      <c r="J37" s="78">
        <f t="shared" ref="J37" si="3">SUM(J32:J36)</f>
        <v>0</v>
      </c>
      <c r="K37" s="235">
        <f>SUM(K32:K36)</f>
        <v>9923619</v>
      </c>
    </row>
    <row r="38" spans="2:11">
      <c r="B38" s="141" t="s">
        <v>140</v>
      </c>
      <c r="C38" s="183" t="s">
        <v>152</v>
      </c>
      <c r="D38" s="183" t="s">
        <v>205</v>
      </c>
    </row>
    <row r="39" spans="2:11">
      <c r="B39" s="143" t="s">
        <v>141</v>
      </c>
      <c r="C39" s="182">
        <f>DEMANDA!D76</f>
        <v>0.71631747049224126</v>
      </c>
      <c r="D39" s="182">
        <f>DEMANDA!D138</f>
        <v>0.71410551406151868</v>
      </c>
      <c r="H39" s="184"/>
    </row>
    <row r="40" spans="2:11" ht="25.5">
      <c r="B40" s="181" t="s">
        <v>166</v>
      </c>
      <c r="C40" s="181" t="s">
        <v>204</v>
      </c>
      <c r="D40" s="181" t="s">
        <v>203</v>
      </c>
      <c r="E40" s="180" t="s">
        <v>202</v>
      </c>
      <c r="F40" s="180" t="s">
        <v>201</v>
      </c>
      <c r="G40" s="180" t="s">
        <v>200</v>
      </c>
      <c r="H40" s="184"/>
      <c r="I40" s="184"/>
      <c r="J40" s="184"/>
    </row>
    <row r="41" spans="2:11">
      <c r="B41" s="177" t="s">
        <v>199</v>
      </c>
      <c r="C41" s="176">
        <f>DEMANDA!C184</f>
        <v>5166109</v>
      </c>
      <c r="H41" s="184"/>
      <c r="I41" s="184"/>
      <c r="J41" s="184"/>
    </row>
    <row r="42" spans="2:11">
      <c r="B42" s="177" t="s">
        <v>198</v>
      </c>
      <c r="C42" s="176">
        <f>+C$19*$C39</f>
        <v>6116205185.4463015</v>
      </c>
      <c r="D42" s="176">
        <f>+D$19*$C39</f>
        <v>582124131.97953331</v>
      </c>
      <c r="E42" s="157">
        <f>+E$19</f>
        <v>31</v>
      </c>
      <c r="F42" s="157">
        <f>+D42/E42</f>
        <v>18778197.805791397</v>
      </c>
      <c r="G42" s="178">
        <f>+F42*$C$5</f>
        <v>9389098.9028956983</v>
      </c>
      <c r="H42" s="184"/>
      <c r="I42" s="184"/>
      <c r="J42" s="184"/>
    </row>
    <row r="43" spans="2:11">
      <c r="B43" s="177" t="s">
        <v>197</v>
      </c>
      <c r="C43" s="176"/>
      <c r="D43" s="176"/>
      <c r="E43" s="157"/>
      <c r="F43" s="157"/>
      <c r="G43" s="178">
        <f>+G42/$C$4</f>
        <v>11266918.683474837</v>
      </c>
      <c r="H43" s="175">
        <f>ROUNDUP(+G43*D5,0)</f>
        <v>22533838</v>
      </c>
      <c r="I43" s="127">
        <f>ROUNDUP($F$5*G43,0)</f>
        <v>0</v>
      </c>
      <c r="J43" s="175">
        <f>ROUNDUP(+G43*H5,0)</f>
        <v>0</v>
      </c>
      <c r="K43" s="175">
        <f>SUM(H43:J43)</f>
        <v>22533838</v>
      </c>
    </row>
    <row r="44" spans="2:11">
      <c r="B44" s="177" t="s">
        <v>62</v>
      </c>
      <c r="C44" s="176">
        <f>+C$21*$D39</f>
        <v>5449971776.0282412</v>
      </c>
      <c r="D44" s="176">
        <f>+D$21*$D39</f>
        <v>928462388.82418156</v>
      </c>
      <c r="E44" s="157">
        <f>+E$21</f>
        <v>28</v>
      </c>
      <c r="F44" s="157">
        <f>+D44/E44</f>
        <v>33159371.029435057</v>
      </c>
      <c r="G44" s="178">
        <f>+F44*$C$6</f>
        <v>16579685.514717529</v>
      </c>
      <c r="H44" s="175">
        <f>ROUNDUP(+G44*D6,0)</f>
        <v>33159372</v>
      </c>
      <c r="I44" s="175">
        <f>+G44*F6</f>
        <v>0</v>
      </c>
      <c r="J44" s="175">
        <f>ROUNDUP(+G44*H6,0)</f>
        <v>0</v>
      </c>
      <c r="K44" s="175">
        <f>SUM(H44:J44)</f>
        <v>33159372</v>
      </c>
    </row>
    <row r="45" spans="2:11">
      <c r="B45" s="177" t="s">
        <v>63</v>
      </c>
      <c r="C45" s="176">
        <f>+C$22*$D39</f>
        <v>4037021.282001365</v>
      </c>
      <c r="D45" s="176">
        <f>+D$22*$D39</f>
        <v>524743.29847576946</v>
      </c>
      <c r="E45" s="157">
        <f>+E$22</f>
        <v>30</v>
      </c>
      <c r="F45" s="157">
        <f>+D45/E45</f>
        <v>17491.443282525648</v>
      </c>
      <c r="G45" s="178">
        <f>+F45*$C$7</f>
        <v>8745.7216412628241</v>
      </c>
      <c r="H45" s="175">
        <f>ROUNDUP(+G45*D7,0)</f>
        <v>17492</v>
      </c>
      <c r="I45" s="175">
        <f>+G45*F7</f>
        <v>0</v>
      </c>
      <c r="J45" s="175">
        <f>ROUNDUP(+G45*H7,0)</f>
        <v>0</v>
      </c>
      <c r="K45" s="175">
        <f>SUM(H45:J45)</f>
        <v>17492</v>
      </c>
    </row>
    <row r="46" spans="2:11">
      <c r="B46" s="177" t="s">
        <v>196</v>
      </c>
      <c r="C46" s="176"/>
      <c r="D46" s="176"/>
      <c r="E46" s="157"/>
      <c r="F46" s="157"/>
      <c r="G46" s="157">
        <f>ROUNDUP(G$23*C41/C$18,0)</f>
        <v>708</v>
      </c>
      <c r="H46" s="175">
        <f>ROUNDUP(+G46*D8,0)</f>
        <v>1416</v>
      </c>
      <c r="I46" s="175">
        <f>+G46*F8</f>
        <v>0</v>
      </c>
      <c r="J46" s="175">
        <f>ROUNDUP(+G46*H8,0)</f>
        <v>0</v>
      </c>
      <c r="K46" s="175">
        <f>SUM(H46:J46)</f>
        <v>1416</v>
      </c>
    </row>
    <row r="47" spans="2:11">
      <c r="B47" s="177" t="s">
        <v>195</v>
      </c>
      <c r="C47" s="176"/>
      <c r="D47" s="176"/>
      <c r="E47" s="157"/>
      <c r="F47" s="157"/>
      <c r="G47" s="157">
        <f>ROUNDUP(G$24*C41/C$18,0)</f>
        <v>342278</v>
      </c>
      <c r="H47" s="175">
        <f>ROUNDUP(+G47*D9,0)</f>
        <v>684556</v>
      </c>
      <c r="I47" s="175">
        <f>+G47*F9</f>
        <v>0</v>
      </c>
      <c r="J47" s="175">
        <f>ROUNDUP(+G47*H9,0)</f>
        <v>0</v>
      </c>
      <c r="K47" s="175">
        <f>SUM(H47:J47)</f>
        <v>684556</v>
      </c>
    </row>
    <row r="48" spans="2:11" ht="15.75">
      <c r="G48" s="78">
        <f>SUM(G43:G47)</f>
        <v>28198335.919833627</v>
      </c>
      <c r="H48" s="78">
        <f t="shared" ref="H48" si="4">SUM(H43:H47)</f>
        <v>56396674</v>
      </c>
      <c r="I48" s="78">
        <f t="shared" ref="I48" si="5">SUM(I43:I47)</f>
        <v>0</v>
      </c>
      <c r="J48" s="78">
        <f t="shared" ref="J48" si="6">SUM(J43:J47)</f>
        <v>0</v>
      </c>
      <c r="K48" s="235">
        <f>SUM(K43:K47)</f>
        <v>56396674</v>
      </c>
    </row>
    <row r="49" spans="2:11">
      <c r="K49" s="59"/>
    </row>
    <row r="50" spans="2:11">
      <c r="B50" s="141" t="s">
        <v>140</v>
      </c>
      <c r="C50" s="183" t="s">
        <v>152</v>
      </c>
      <c r="D50" s="183" t="s">
        <v>205</v>
      </c>
    </row>
    <row r="51" spans="2:11">
      <c r="B51" s="143" t="s">
        <v>189</v>
      </c>
      <c r="C51" s="182">
        <f>DEMANDA!D77</f>
        <v>0.16086831390673539</v>
      </c>
      <c r="D51" s="182">
        <f>DEMANDA!D139</f>
        <v>0.15808041695861144</v>
      </c>
    </row>
    <row r="52" spans="2:11" ht="25.5">
      <c r="B52" s="181" t="s">
        <v>166</v>
      </c>
      <c r="C52" s="181" t="s">
        <v>204</v>
      </c>
      <c r="D52" s="181" t="s">
        <v>203</v>
      </c>
      <c r="E52" s="180" t="s">
        <v>202</v>
      </c>
      <c r="F52" s="180" t="s">
        <v>201</v>
      </c>
      <c r="G52" s="180" t="s">
        <v>200</v>
      </c>
    </row>
    <row r="53" spans="2:11">
      <c r="B53" s="177" t="s">
        <v>199</v>
      </c>
      <c r="C53" s="176">
        <f>DEMANDA!C185</f>
        <v>1195270</v>
      </c>
      <c r="K53" s="179"/>
    </row>
    <row r="54" spans="2:11">
      <c r="B54" s="177" t="s">
        <v>198</v>
      </c>
      <c r="C54" s="176">
        <f>+C$19*$C51</f>
        <v>1373558032.8848555</v>
      </c>
      <c r="D54" s="176">
        <f>+D$19*$C51</f>
        <v>130731598.00446852</v>
      </c>
      <c r="E54" s="157">
        <f>+E$19</f>
        <v>31</v>
      </c>
      <c r="F54" s="157">
        <f>+D54/E54</f>
        <v>4217148.3227247912</v>
      </c>
      <c r="G54" s="178">
        <f>+F54*$C$5</f>
        <v>2108574.1613623956</v>
      </c>
    </row>
    <row r="55" spans="2:11">
      <c r="B55" s="177" t="s">
        <v>197</v>
      </c>
      <c r="C55" s="176"/>
      <c r="D55" s="176"/>
      <c r="E55" s="157"/>
      <c r="F55" s="157"/>
      <c r="G55" s="178">
        <f>+G54/$C$4</f>
        <v>2530288.9936348745</v>
      </c>
      <c r="H55" s="175">
        <f>ROUNDUP(+G55*D5,0)</f>
        <v>5060578</v>
      </c>
      <c r="I55" s="175">
        <f>ROUNDUP($F$5*$C$4*G55,0)</f>
        <v>0</v>
      </c>
      <c r="J55" s="175">
        <f>ROUNDUP(+G55*H5,0)</f>
        <v>0</v>
      </c>
      <c r="K55" s="175">
        <f>SUM(H55:J55)</f>
        <v>5060578</v>
      </c>
    </row>
    <row r="56" spans="2:11">
      <c r="B56" s="177" t="s">
        <v>62</v>
      </c>
      <c r="C56" s="176">
        <f>+C$21*$D51</f>
        <v>1206451699.0874112</v>
      </c>
      <c r="D56" s="176">
        <f>+D$21*$D51</f>
        <v>205532261.92154983</v>
      </c>
      <c r="E56" s="157">
        <f>+E$21</f>
        <v>28</v>
      </c>
      <c r="F56" s="157">
        <f>+D56/E56</f>
        <v>7340437.9257696364</v>
      </c>
      <c r="G56" s="178">
        <f>+F56*$C$6</f>
        <v>3670218.9628848182</v>
      </c>
      <c r="H56" s="175">
        <f>ROUNDUP(+G56*D6,0)</f>
        <v>7340438</v>
      </c>
      <c r="I56" s="175">
        <f>+G56*F6</f>
        <v>0</v>
      </c>
      <c r="J56" s="175">
        <f>ROUNDUP(+G56*H6,0)</f>
        <v>0</v>
      </c>
      <c r="K56" s="175">
        <f>SUM(H56:J56)</f>
        <v>7340438</v>
      </c>
    </row>
    <row r="57" spans="2:11">
      <c r="B57" s="177" t="s">
        <v>63</v>
      </c>
      <c r="C57" s="176">
        <f>+C$22*$D51</f>
        <v>893669.06565377186</v>
      </c>
      <c r="D57" s="176">
        <f>+D$22*$D51</f>
        <v>116161.60047202861</v>
      </c>
      <c r="E57" s="157">
        <f>+E$22</f>
        <v>30</v>
      </c>
      <c r="F57" s="157">
        <f>+D57/E57</f>
        <v>3872.0533490676203</v>
      </c>
      <c r="G57" s="178">
        <f>+F57*$C$7</f>
        <v>1936.0266745338101</v>
      </c>
      <c r="H57" s="175">
        <f>ROUNDUP(+G57*D7,0)</f>
        <v>3873</v>
      </c>
      <c r="I57" s="175">
        <f>+G57*F7</f>
        <v>0</v>
      </c>
      <c r="J57" s="175">
        <f>ROUNDUP(+G57*H7,0)</f>
        <v>0</v>
      </c>
      <c r="K57" s="175">
        <f>SUM(H57:J57)</f>
        <v>3873</v>
      </c>
    </row>
    <row r="58" spans="2:11">
      <c r="B58" s="177" t="s">
        <v>196</v>
      </c>
      <c r="C58" s="176"/>
      <c r="D58" s="176"/>
      <c r="E58" s="157"/>
      <c r="F58" s="157"/>
      <c r="G58" s="157">
        <f>ROUNDUP(G$23*C53/C$18,0)</f>
        <v>164</v>
      </c>
      <c r="H58" s="175">
        <f>ROUNDUP(+G58*D8,0)</f>
        <v>328</v>
      </c>
      <c r="I58" s="175">
        <f>+G58*F8</f>
        <v>0</v>
      </c>
      <c r="J58" s="175">
        <f>ROUNDUP(+G58*H8,0)</f>
        <v>0</v>
      </c>
      <c r="K58" s="175">
        <f>SUM(H58:J58)</f>
        <v>328</v>
      </c>
    </row>
    <row r="59" spans="2:11">
      <c r="B59" s="177" t="s">
        <v>195</v>
      </c>
      <c r="C59" s="176"/>
      <c r="D59" s="176"/>
      <c r="E59" s="157"/>
      <c r="F59" s="157"/>
      <c r="G59" s="157">
        <f>ROUNDUP(G$24*C53/C$18,0)</f>
        <v>79192</v>
      </c>
      <c r="H59" s="175">
        <f>ROUNDUP(+G59*D9,0)</f>
        <v>158384</v>
      </c>
      <c r="I59" s="175">
        <f>+G59*F9</f>
        <v>0</v>
      </c>
      <c r="J59" s="175">
        <f>ROUNDUP(+G59*H9,0)</f>
        <v>0</v>
      </c>
      <c r="K59" s="175">
        <f>SUM(H59:J59)</f>
        <v>158384</v>
      </c>
    </row>
    <row r="60" spans="2:11" ht="15.75">
      <c r="G60" s="78">
        <f>SUM(G55:G59)</f>
        <v>6281799.9831942273</v>
      </c>
      <c r="H60" s="78">
        <f t="shared" ref="H60" si="7">SUM(H55:H59)</f>
        <v>12563601</v>
      </c>
      <c r="I60" s="78">
        <f t="shared" ref="I60" si="8">SUM(I55:I59)</f>
        <v>0</v>
      </c>
      <c r="J60" s="78">
        <f t="shared" ref="J60" si="9">SUM(J55:J59)</f>
        <v>0</v>
      </c>
      <c r="K60" s="235">
        <f>SUM(K55:K59)</f>
        <v>12563601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9"/>
  <dimension ref="A2:CA186"/>
  <sheetViews>
    <sheetView topLeftCell="B152" zoomScaleNormal="100" workbookViewId="0">
      <selection activeCell="C169" sqref="C169"/>
    </sheetView>
  </sheetViews>
  <sheetFormatPr baseColWidth="10" defaultRowHeight="15"/>
  <cols>
    <col min="1" max="1" width="14.42578125" bestFit="1" customWidth="1"/>
    <col min="2" max="2" width="20.42578125" customWidth="1"/>
    <col min="3" max="3" width="24.28515625" customWidth="1"/>
    <col min="4" max="4" width="15.5703125" customWidth="1"/>
    <col min="5" max="6" width="18.42578125" customWidth="1"/>
    <col min="7" max="7" width="13.85546875" customWidth="1"/>
    <col min="8" max="8" width="15.28515625" customWidth="1"/>
    <col min="9" max="13" width="13.85546875" customWidth="1"/>
    <col min="14" max="14" width="19.7109375" customWidth="1"/>
    <col min="15" max="15" width="15.5703125" bestFit="1" customWidth="1"/>
    <col min="16" max="16" width="23" bestFit="1" customWidth="1"/>
    <col min="17" max="18" width="18.140625" customWidth="1"/>
    <col min="19" max="19" width="24.140625" customWidth="1"/>
    <col min="20" max="20" width="14.42578125" bestFit="1" customWidth="1"/>
  </cols>
  <sheetData>
    <row r="2" spans="1:79" ht="18.75">
      <c r="A2" s="130" t="s">
        <v>130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</row>
    <row r="4" spans="1:79">
      <c r="B4" s="129" t="s">
        <v>131</v>
      </c>
    </row>
    <row r="5" spans="1:79">
      <c r="B5" s="129"/>
      <c r="C5" s="131">
        <v>1</v>
      </c>
      <c r="D5" s="131">
        <f>+C5+1</f>
        <v>2</v>
      </c>
      <c r="E5" s="131">
        <f t="shared" ref="E5:N5" si="0">+D5+1</f>
        <v>3</v>
      </c>
      <c r="F5" s="131">
        <f t="shared" si="0"/>
        <v>4</v>
      </c>
      <c r="G5" s="131">
        <f t="shared" si="0"/>
        <v>5</v>
      </c>
      <c r="H5" s="131">
        <f t="shared" si="0"/>
        <v>6</v>
      </c>
      <c r="I5" s="131">
        <f t="shared" si="0"/>
        <v>7</v>
      </c>
      <c r="J5" s="131">
        <f t="shared" si="0"/>
        <v>8</v>
      </c>
      <c r="K5" s="131">
        <f t="shared" si="0"/>
        <v>9</v>
      </c>
      <c r="L5" s="131">
        <f t="shared" si="0"/>
        <v>10</v>
      </c>
      <c r="M5" s="131">
        <f t="shared" si="0"/>
        <v>11</v>
      </c>
      <c r="N5" s="131">
        <f t="shared" si="0"/>
        <v>12</v>
      </c>
    </row>
    <row r="6" spans="1:79">
      <c r="B6" s="132" t="s">
        <v>132</v>
      </c>
      <c r="C6" s="133">
        <v>39814</v>
      </c>
      <c r="D6" s="133">
        <v>39845</v>
      </c>
      <c r="E6" s="133">
        <v>39873</v>
      </c>
      <c r="F6" s="133">
        <v>39904</v>
      </c>
      <c r="G6" s="133">
        <v>39934</v>
      </c>
      <c r="H6" s="133">
        <v>39965</v>
      </c>
      <c r="I6" s="133">
        <v>39995</v>
      </c>
      <c r="J6" s="133">
        <v>40026</v>
      </c>
      <c r="K6" s="133">
        <v>40057</v>
      </c>
      <c r="L6" s="133">
        <v>40087</v>
      </c>
      <c r="M6" s="133">
        <v>40118</v>
      </c>
      <c r="N6" s="133">
        <v>40148</v>
      </c>
    </row>
    <row r="7" spans="1:79">
      <c r="A7" s="59"/>
      <c r="B7" s="134" t="s">
        <v>71</v>
      </c>
      <c r="C7" s="135">
        <f>Líneas!C5+Líneas!C13+Líneas!C21</f>
        <v>6818500</v>
      </c>
      <c r="D7" s="135">
        <f>Líneas!D5+Líneas!D13+Líneas!D21</f>
        <v>6926800</v>
      </c>
      <c r="E7" s="135">
        <f>Líneas!E5+Líneas!E13+Líneas!E21</f>
        <v>6875400</v>
      </c>
      <c r="F7" s="135">
        <f>Líneas!F5+Líneas!F13+Líneas!F21</f>
        <v>6895900</v>
      </c>
      <c r="G7" s="135">
        <f>Líneas!G5+Líneas!G13+Líneas!G21</f>
        <v>6946500</v>
      </c>
      <c r="H7" s="135">
        <f>Líneas!H5+Líneas!H13+Líneas!H21</f>
        <v>6851300</v>
      </c>
      <c r="I7" s="135">
        <f>Líneas!I5+Líneas!I13+Líneas!I21</f>
        <v>7002600</v>
      </c>
      <c r="J7" s="135">
        <f>Líneas!J5+Líneas!J13+Líneas!J21</f>
        <v>6892700</v>
      </c>
      <c r="K7" s="135">
        <f>Líneas!K5+Líneas!K13+Líneas!K21</f>
        <v>6802500</v>
      </c>
      <c r="L7" s="135">
        <f>Líneas!L5+Líneas!L13+Líneas!L21</f>
        <v>6945500</v>
      </c>
      <c r="M7" s="135">
        <f>Líneas!M5+Líneas!M13+Líneas!M21</f>
        <v>6907600</v>
      </c>
      <c r="N7" s="135">
        <f>Líneas!N5+Líneas!N13+Líneas!N21</f>
        <v>6936300</v>
      </c>
    </row>
    <row r="8" spans="1:79">
      <c r="A8" s="59"/>
      <c r="B8" s="134" t="s">
        <v>90</v>
      </c>
      <c r="C8" s="135">
        <f>Líneas!C6+Líneas!C14+Líneas!C22</f>
        <v>84921</v>
      </c>
      <c r="D8" s="135">
        <f>Líneas!D6+Líneas!D14+Líneas!D22</f>
        <v>87118</v>
      </c>
      <c r="E8" s="135">
        <f>Líneas!E6+Líneas!E14+Líneas!E22</f>
        <v>88396</v>
      </c>
      <c r="F8" s="135">
        <f>Líneas!F6+Líneas!F14+Líneas!F22</f>
        <v>86976</v>
      </c>
      <c r="G8" s="135">
        <f>Líneas!G6+Líneas!G14+Líneas!G22</f>
        <v>87760</v>
      </c>
      <c r="H8" s="135">
        <f>Líneas!H6+Líneas!H14+Líneas!H22</f>
        <v>85958</v>
      </c>
      <c r="I8" s="135">
        <f>Líneas!I6+Líneas!I14+Líneas!I22</f>
        <v>85620</v>
      </c>
      <c r="J8" s="135">
        <f>Líneas!J6+Líneas!J14+Líneas!J22</f>
        <v>88309</v>
      </c>
      <c r="K8" s="135">
        <f>Líneas!K6+Líneas!K14+Líneas!K22</f>
        <v>86813</v>
      </c>
      <c r="L8" s="135">
        <f>Líneas!L6+Líneas!L14+Líneas!L22</f>
        <v>87164</v>
      </c>
      <c r="M8" s="135">
        <f>Líneas!M6+Líneas!M14+Líneas!M22</f>
        <v>88586</v>
      </c>
      <c r="N8" s="135">
        <f>Líneas!N6+Líneas!N14+Líneas!N22</f>
        <v>86360</v>
      </c>
    </row>
    <row r="9" spans="1:79">
      <c r="A9" s="59"/>
      <c r="B9" s="134" t="s">
        <v>133</v>
      </c>
      <c r="C9" s="135">
        <v>0</v>
      </c>
      <c r="D9" s="135">
        <v>0</v>
      </c>
      <c r="E9" s="135">
        <v>0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</row>
    <row r="10" spans="1:79">
      <c r="A10" s="59"/>
      <c r="B10" s="134" t="s">
        <v>134</v>
      </c>
      <c r="C10" s="135">
        <f>Líneas!C8+Líneas!C16+Líneas!C24</f>
        <v>213000</v>
      </c>
      <c r="D10" s="135">
        <f>Líneas!D8+Líneas!D16+Líneas!D24</f>
        <v>216000</v>
      </c>
      <c r="E10" s="135">
        <f>Líneas!E8+Líneas!E16+Líneas!E24</f>
        <v>223000</v>
      </c>
      <c r="F10" s="135">
        <f>Líneas!F8+Líneas!F16+Líneas!F24</f>
        <v>213000</v>
      </c>
      <c r="G10" s="135">
        <f>Líneas!G8+Líneas!G16+Líneas!G24</f>
        <v>212000</v>
      </c>
      <c r="H10" s="135">
        <f>Líneas!H8+Líneas!H16+Líneas!H24</f>
        <v>224000</v>
      </c>
      <c r="I10" s="135">
        <f>Líneas!I8+Líneas!I16+Líneas!I24</f>
        <v>215000</v>
      </c>
      <c r="J10" s="135">
        <f>Líneas!J8+Líneas!J16+Líneas!J24</f>
        <v>215000</v>
      </c>
      <c r="K10" s="135">
        <f>Líneas!K8+Líneas!K16+Líneas!K24</f>
        <v>217000</v>
      </c>
      <c r="L10" s="135">
        <f>Líneas!L8+Líneas!L16+Líneas!L24</f>
        <v>217000</v>
      </c>
      <c r="M10" s="135">
        <f>Líneas!M8+Líneas!M16+Líneas!M24</f>
        <v>218000</v>
      </c>
      <c r="N10" s="135">
        <f>Líneas!N8+Líneas!N16+Líneas!N24</f>
        <v>216000</v>
      </c>
    </row>
    <row r="11" spans="1:79">
      <c r="A11" s="59"/>
      <c r="B11" s="136" t="s">
        <v>23</v>
      </c>
      <c r="C11" s="137">
        <f>SUM(C7:C10)</f>
        <v>7116421</v>
      </c>
      <c r="D11" s="137">
        <f t="shared" ref="D11:N11" si="1">SUM(D7:D10)</f>
        <v>7229918</v>
      </c>
      <c r="E11" s="137">
        <f t="shared" si="1"/>
        <v>7186796</v>
      </c>
      <c r="F11" s="137">
        <f t="shared" si="1"/>
        <v>7195876</v>
      </c>
      <c r="G11" s="137">
        <f t="shared" si="1"/>
        <v>7246260</v>
      </c>
      <c r="H11" s="137">
        <f t="shared" si="1"/>
        <v>7161258</v>
      </c>
      <c r="I11" s="137">
        <f t="shared" si="1"/>
        <v>7303220</v>
      </c>
      <c r="J11" s="137">
        <f t="shared" si="1"/>
        <v>7196009</v>
      </c>
      <c r="K11" s="137">
        <f t="shared" si="1"/>
        <v>7106313</v>
      </c>
      <c r="L11" s="137">
        <f t="shared" si="1"/>
        <v>7249664</v>
      </c>
      <c r="M11" s="137">
        <f t="shared" si="1"/>
        <v>7214186</v>
      </c>
      <c r="N11" s="137">
        <f t="shared" si="1"/>
        <v>7238660</v>
      </c>
      <c r="O11" s="59"/>
    </row>
    <row r="12" spans="1:79"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79">
      <c r="B13" s="138" t="s">
        <v>135</v>
      </c>
      <c r="C13" s="139">
        <f>MAX(C11:N11)</f>
        <v>7303220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79">
      <c r="B14" s="138" t="s">
        <v>136</v>
      </c>
      <c r="C14" s="139">
        <f>IF(C11=$C$13,1,0)</f>
        <v>0</v>
      </c>
      <c r="D14" s="139">
        <f t="shared" ref="D14:N14" si="2">IF(D11=$C$13,1,0)</f>
        <v>0</v>
      </c>
      <c r="E14" s="139">
        <f t="shared" si="2"/>
        <v>0</v>
      </c>
      <c r="F14" s="139">
        <f t="shared" si="2"/>
        <v>0</v>
      </c>
      <c r="G14" s="139">
        <f t="shared" si="2"/>
        <v>0</v>
      </c>
      <c r="H14" s="139">
        <f t="shared" si="2"/>
        <v>0</v>
      </c>
      <c r="I14" s="139">
        <f t="shared" si="2"/>
        <v>1</v>
      </c>
      <c r="J14" s="139">
        <f t="shared" si="2"/>
        <v>0</v>
      </c>
      <c r="K14" s="139">
        <f t="shared" si="2"/>
        <v>0</v>
      </c>
      <c r="L14" s="139">
        <f t="shared" si="2"/>
        <v>0</v>
      </c>
      <c r="M14" s="139">
        <f t="shared" si="2"/>
        <v>0</v>
      </c>
      <c r="N14" s="139">
        <f t="shared" si="2"/>
        <v>0</v>
      </c>
    </row>
    <row r="15" spans="1:79">
      <c r="B15" s="138" t="s">
        <v>137</v>
      </c>
      <c r="C15" s="140">
        <f>INDEX(C6:N6,0,SUMPRODUCT(C14:N14,C5:N5))</f>
        <v>39995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7" spans="1:79">
      <c r="B17" s="129" t="s">
        <v>138</v>
      </c>
    </row>
    <row r="18" spans="1:79">
      <c r="B18" s="141" t="s">
        <v>132</v>
      </c>
      <c r="C18" s="142">
        <f>+C15</f>
        <v>39995</v>
      </c>
    </row>
    <row r="19" spans="1:79">
      <c r="B19" s="143" t="s">
        <v>71</v>
      </c>
      <c r="C19" s="144">
        <f>HLOOKUP(C$18,$C$6:$N$10,2,FALSE)</f>
        <v>7002600</v>
      </c>
    </row>
    <row r="20" spans="1:79">
      <c r="B20" s="143" t="s">
        <v>90</v>
      </c>
      <c r="C20" s="144">
        <f>HLOOKUP(C$18,$C$6:$N$10,3,FALSE)</f>
        <v>85620</v>
      </c>
    </row>
    <row r="21" spans="1:79">
      <c r="B21" s="143" t="s">
        <v>133</v>
      </c>
      <c r="C21" s="144">
        <f>HLOOKUP(C$18,$C$6:$N$10,4,FALSE)</f>
        <v>0</v>
      </c>
    </row>
    <row r="22" spans="1:79">
      <c r="B22" s="143" t="s">
        <v>134</v>
      </c>
      <c r="C22" s="144">
        <f>HLOOKUP(C$18,$C$6:$N$10,5,FALSE)</f>
        <v>215000</v>
      </c>
    </row>
    <row r="23" spans="1:79">
      <c r="B23" s="145" t="s">
        <v>23</v>
      </c>
      <c r="C23" s="137">
        <f>SUM(C19:C22)</f>
        <v>7303220</v>
      </c>
    </row>
    <row r="26" spans="1:79" ht="18.75">
      <c r="A26" s="130" t="s">
        <v>142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</row>
    <row r="30" spans="1:79" ht="30">
      <c r="B30" s="126" t="s">
        <v>143</v>
      </c>
      <c r="C30" s="126">
        <v>2009</v>
      </c>
      <c r="D30" s="126" t="s">
        <v>129</v>
      </c>
      <c r="E30" s="126" t="s">
        <v>144</v>
      </c>
      <c r="F30" s="126" t="s">
        <v>145</v>
      </c>
      <c r="H30" s="333" t="s">
        <v>301</v>
      </c>
      <c r="I30" s="226">
        <v>50</v>
      </c>
      <c r="J30" s="226" t="s">
        <v>248</v>
      </c>
    </row>
    <row r="31" spans="1:79">
      <c r="B31" s="102" t="s">
        <v>71</v>
      </c>
      <c r="C31" s="105">
        <f>SUM(Tráfico!B31:M31,Tráfico!B40:M40,Tráfico!B48:M48)</f>
        <v>8305980617.731389</v>
      </c>
      <c r="D31" s="146">
        <f>+C31/$C$35</f>
        <v>0.68942058303996434</v>
      </c>
      <c r="E31" s="102"/>
      <c r="F31" s="147">
        <f>+C31</f>
        <v>8305980617.731389</v>
      </c>
      <c r="H31" s="333"/>
      <c r="I31" s="227">
        <f>+I30/60</f>
        <v>0.83333333333333337</v>
      </c>
      <c r="J31" s="226" t="s">
        <v>249</v>
      </c>
    </row>
    <row r="32" spans="1:79">
      <c r="B32" s="102" t="s">
        <v>90</v>
      </c>
      <c r="C32" s="105">
        <f>SUM(Tráfico!B27:M27,Tráfico!B36:M36,Tráfico!B44:M44)</f>
        <v>207649515.44328472</v>
      </c>
      <c r="D32" s="146">
        <f t="shared" ref="D32:D33" si="3">+C32/$C$35</f>
        <v>1.723551457599911E-2</v>
      </c>
      <c r="E32" s="102"/>
      <c r="F32" s="147">
        <f>+C32</f>
        <v>207649515.44328472</v>
      </c>
    </row>
    <row r="33" spans="2:14">
      <c r="B33" s="102" t="s">
        <v>133</v>
      </c>
      <c r="C33" s="105">
        <f>SUM(Tráfico!B28:M28,Tráfico!B37:M37,Tráfico!B45:M45)</f>
        <v>3509369866.8253231</v>
      </c>
      <c r="D33" s="146">
        <f t="shared" si="3"/>
        <v>0.29128792023962313</v>
      </c>
      <c r="E33" s="105">
        <f>+C33</f>
        <v>3509369866.8253231</v>
      </c>
      <c r="F33" s="102"/>
    </row>
    <row r="34" spans="2:14">
      <c r="B34" s="102" t="s">
        <v>113</v>
      </c>
      <c r="C34" s="105">
        <f>SUM(DEMANDA!C47:N47)</f>
        <v>24770000</v>
      </c>
      <c r="D34" s="146">
        <f>+C34/$C$35</f>
        <v>2.0559821444134482E-3</v>
      </c>
      <c r="E34" s="105"/>
      <c r="F34" s="105">
        <f>C34</f>
        <v>24770000</v>
      </c>
    </row>
    <row r="35" spans="2:14">
      <c r="B35" s="102" t="s">
        <v>23</v>
      </c>
      <c r="C35" s="105">
        <f>SUM(C31:C34)</f>
        <v>12047769999.999996</v>
      </c>
      <c r="D35" s="102"/>
      <c r="E35" s="105">
        <f t="shared" ref="E35:F35" si="4">SUM(E31:E33)</f>
        <v>3509369866.8253231</v>
      </c>
      <c r="F35" s="105">
        <f t="shared" si="4"/>
        <v>8513630133.174674</v>
      </c>
    </row>
    <row r="36" spans="2:14">
      <c r="E36" s="148">
        <f>+E35/$C$35</f>
        <v>0.29128792023962313</v>
      </c>
      <c r="F36" s="148">
        <f>+F35/$C$35</f>
        <v>0.70665609761596349</v>
      </c>
    </row>
    <row r="37" spans="2:14">
      <c r="E37" s="293"/>
      <c r="F37" s="293"/>
    </row>
    <row r="38" spans="2:14">
      <c r="E38" s="293"/>
      <c r="F38" s="293"/>
    </row>
    <row r="39" spans="2:14">
      <c r="E39" s="293"/>
      <c r="F39" s="293"/>
    </row>
    <row r="40" spans="2:14">
      <c r="B40" s="129" t="s">
        <v>167</v>
      </c>
    </row>
    <row r="41" spans="2:14">
      <c r="B41" s="129" t="s">
        <v>131</v>
      </c>
    </row>
    <row r="42" spans="2:14">
      <c r="B42" s="132" t="s">
        <v>128</v>
      </c>
      <c r="C42" s="133">
        <v>39814</v>
      </c>
      <c r="D42" s="133">
        <v>39845</v>
      </c>
      <c r="E42" s="133">
        <v>39873</v>
      </c>
      <c r="F42" s="133">
        <v>39904</v>
      </c>
      <c r="G42" s="133">
        <v>39934</v>
      </c>
      <c r="H42" s="133">
        <v>39965</v>
      </c>
      <c r="I42" s="133">
        <v>39995</v>
      </c>
      <c r="J42" s="133">
        <v>40026</v>
      </c>
      <c r="K42" s="133">
        <v>40057</v>
      </c>
      <c r="L42" s="133">
        <v>40087</v>
      </c>
      <c r="M42" s="133">
        <v>40118</v>
      </c>
      <c r="N42" s="133">
        <v>40148</v>
      </c>
    </row>
    <row r="43" spans="2:14">
      <c r="B43" s="163" t="s">
        <v>168</v>
      </c>
      <c r="C43" s="135">
        <f>Tráfico!B11</f>
        <v>1700000</v>
      </c>
      <c r="D43" s="135">
        <f>Tráfico!C11</f>
        <v>1700000</v>
      </c>
      <c r="E43" s="135">
        <f>Tráfico!D11</f>
        <v>1600000</v>
      </c>
      <c r="F43" s="135">
        <f>Tráfico!E11</f>
        <v>2000000</v>
      </c>
      <c r="G43" s="135">
        <f>Tráfico!F11</f>
        <v>1600000</v>
      </c>
      <c r="H43" s="135">
        <f>Tráfico!G11</f>
        <v>2000000</v>
      </c>
      <c r="I43" s="135">
        <f>Tráfico!H11</f>
        <v>1600000</v>
      </c>
      <c r="J43" s="135">
        <f>Tráfico!I11</f>
        <v>2000000</v>
      </c>
      <c r="K43" s="135">
        <f>Tráfico!J11</f>
        <v>1700000</v>
      </c>
      <c r="L43" s="135">
        <f>Tráfico!K11</f>
        <v>2200000</v>
      </c>
      <c r="M43" s="135">
        <f>Tráfico!L11</f>
        <v>2300000</v>
      </c>
      <c r="N43" s="135">
        <f>Tráfico!M11</f>
        <v>1700000</v>
      </c>
    </row>
    <row r="44" spans="2:14">
      <c r="B44" s="163" t="s">
        <v>169</v>
      </c>
      <c r="C44" s="135">
        <f>Tráfico!B10</f>
        <v>0</v>
      </c>
      <c r="D44" s="135">
        <f>Tráfico!C10</f>
        <v>0</v>
      </c>
      <c r="E44" s="135">
        <f>Tráfico!D10</f>
        <v>0</v>
      </c>
      <c r="F44" s="135">
        <f>Tráfico!E10</f>
        <v>0</v>
      </c>
      <c r="G44" s="135">
        <f>Tráfico!F10</f>
        <v>0</v>
      </c>
      <c r="H44" s="135">
        <f>Tráfico!G10</f>
        <v>0</v>
      </c>
      <c r="I44" s="135">
        <f>Tráfico!H10</f>
        <v>0</v>
      </c>
      <c r="J44" s="135">
        <f>Tráfico!I10</f>
        <v>0</v>
      </c>
      <c r="K44" s="135">
        <f>Tráfico!J10</f>
        <v>0</v>
      </c>
      <c r="L44" s="135">
        <f>Tráfico!K10</f>
        <v>0</v>
      </c>
      <c r="M44" s="135">
        <f>Tráfico!L10</f>
        <v>0</v>
      </c>
      <c r="N44" s="135">
        <f>Tráfico!M10</f>
        <v>0</v>
      </c>
    </row>
    <row r="45" spans="2:14" ht="25.5">
      <c r="B45" s="163" t="s">
        <v>170</v>
      </c>
      <c r="C45" s="135">
        <f>Tráfico!B14</f>
        <v>240000</v>
      </c>
      <c r="D45" s="135">
        <f>Tráfico!C14</f>
        <v>230000</v>
      </c>
      <c r="E45" s="135">
        <f>Tráfico!D14</f>
        <v>190000</v>
      </c>
      <c r="F45" s="135">
        <f>Tráfico!E14</f>
        <v>250000</v>
      </c>
      <c r="G45" s="135">
        <f>Tráfico!F14</f>
        <v>190000</v>
      </c>
      <c r="H45" s="135">
        <f>Tráfico!G14</f>
        <v>220000</v>
      </c>
      <c r="I45" s="135">
        <f>Tráfico!H14</f>
        <v>200000</v>
      </c>
      <c r="J45" s="135">
        <f>Tráfico!I14</f>
        <v>240000</v>
      </c>
      <c r="K45" s="135">
        <f>Tráfico!J14</f>
        <v>190000</v>
      </c>
      <c r="L45" s="135">
        <f>Tráfico!K14</f>
        <v>260000</v>
      </c>
      <c r="M45" s="135">
        <f>Tráfico!L14</f>
        <v>210000</v>
      </c>
      <c r="N45" s="135">
        <f>Tráfico!M14</f>
        <v>250000</v>
      </c>
    </row>
    <row r="46" spans="2:14">
      <c r="B46" s="163" t="s">
        <v>171</v>
      </c>
      <c r="C46" s="135">
        <f>Tráfico!B13</f>
        <v>0</v>
      </c>
      <c r="D46" s="135">
        <f>Tráfico!C13</f>
        <v>0</v>
      </c>
      <c r="E46" s="135">
        <f>Tráfico!D13</f>
        <v>0</v>
      </c>
      <c r="F46" s="135">
        <f>Tráfico!E13</f>
        <v>0</v>
      </c>
      <c r="G46" s="135">
        <f>Tráfico!F13</f>
        <v>0</v>
      </c>
      <c r="H46" s="135">
        <f>Tráfico!G13</f>
        <v>0</v>
      </c>
      <c r="I46" s="135">
        <f>Tráfico!H13</f>
        <v>0</v>
      </c>
      <c r="J46" s="135">
        <f>Tráfico!I13</f>
        <v>0</v>
      </c>
      <c r="K46" s="135">
        <f>Tráfico!J13</f>
        <v>0</v>
      </c>
      <c r="L46" s="135">
        <f>Tráfico!K13</f>
        <v>0</v>
      </c>
      <c r="M46" s="135">
        <f>Tráfico!L13</f>
        <v>0</v>
      </c>
      <c r="N46" s="135">
        <f>Tráfico!M13</f>
        <v>0</v>
      </c>
    </row>
    <row r="47" spans="2:14">
      <c r="B47" s="164" t="s">
        <v>23</v>
      </c>
      <c r="C47" s="137">
        <f t="shared" ref="C47:N47" si="5">SUM(C43:C46)</f>
        <v>1940000</v>
      </c>
      <c r="D47" s="137">
        <f t="shared" si="5"/>
        <v>1930000</v>
      </c>
      <c r="E47" s="137">
        <f t="shared" si="5"/>
        <v>1790000</v>
      </c>
      <c r="F47" s="137">
        <f t="shared" si="5"/>
        <v>2250000</v>
      </c>
      <c r="G47" s="137">
        <f t="shared" si="5"/>
        <v>1790000</v>
      </c>
      <c r="H47" s="137">
        <f t="shared" si="5"/>
        <v>2220000</v>
      </c>
      <c r="I47" s="137">
        <f t="shared" si="5"/>
        <v>1800000</v>
      </c>
      <c r="J47" s="137">
        <f t="shared" si="5"/>
        <v>2240000</v>
      </c>
      <c r="K47" s="137">
        <f t="shared" si="5"/>
        <v>1890000</v>
      </c>
      <c r="L47" s="137">
        <f t="shared" si="5"/>
        <v>2460000</v>
      </c>
      <c r="M47" s="137">
        <f t="shared" si="5"/>
        <v>2510000</v>
      </c>
      <c r="N47" s="137">
        <f t="shared" si="5"/>
        <v>1950000</v>
      </c>
    </row>
    <row r="49" spans="1:16">
      <c r="E49" s="293"/>
      <c r="F49" s="293"/>
    </row>
    <row r="50" spans="1:16">
      <c r="B50" s="129" t="s">
        <v>146</v>
      </c>
    </row>
    <row r="51" spans="1:16">
      <c r="B51" s="129"/>
      <c r="C51" s="131">
        <v>1</v>
      </c>
      <c r="D51" s="131">
        <f>+C51+1</f>
        <v>2</v>
      </c>
      <c r="E51" s="131">
        <f t="shared" ref="E51:N51" si="6">+D51+1</f>
        <v>3</v>
      </c>
      <c r="F51" s="131">
        <f t="shared" si="6"/>
        <v>4</v>
      </c>
      <c r="G51" s="131">
        <f t="shared" si="6"/>
        <v>5</v>
      </c>
      <c r="H51" s="131">
        <f t="shared" si="6"/>
        <v>6</v>
      </c>
      <c r="I51" s="131">
        <f t="shared" si="6"/>
        <v>7</v>
      </c>
      <c r="J51" s="131">
        <f t="shared" si="6"/>
        <v>8</v>
      </c>
      <c r="K51" s="131">
        <f t="shared" si="6"/>
        <v>9</v>
      </c>
      <c r="L51" s="131">
        <f t="shared" si="6"/>
        <v>10</v>
      </c>
      <c r="M51" s="131">
        <f t="shared" si="6"/>
        <v>11</v>
      </c>
      <c r="N51" s="131">
        <f t="shared" si="6"/>
        <v>12</v>
      </c>
    </row>
    <row r="52" spans="1:16" ht="30">
      <c r="B52" s="132" t="s">
        <v>132</v>
      </c>
      <c r="C52" s="133">
        <v>39814</v>
      </c>
      <c r="D52" s="133">
        <v>39845</v>
      </c>
      <c r="E52" s="133">
        <v>39873</v>
      </c>
      <c r="F52" s="133">
        <v>39904</v>
      </c>
      <c r="G52" s="133">
        <v>39934</v>
      </c>
      <c r="H52" s="133">
        <v>39965</v>
      </c>
      <c r="I52" s="133">
        <v>39995</v>
      </c>
      <c r="J52" s="133">
        <v>40026</v>
      </c>
      <c r="K52" s="133">
        <v>40057</v>
      </c>
      <c r="L52" s="133">
        <v>40087</v>
      </c>
      <c r="M52" s="133">
        <v>40118</v>
      </c>
      <c r="N52" s="133">
        <v>40148</v>
      </c>
      <c r="O52" s="149" t="s">
        <v>147</v>
      </c>
    </row>
    <row r="53" spans="1:16">
      <c r="A53" s="59"/>
      <c r="B53" s="173" t="s">
        <v>71</v>
      </c>
      <c r="C53" s="135">
        <f>Tráfico!B31+Tráfico!B40+Tráfico!B48</f>
        <v>696453900.70921981</v>
      </c>
      <c r="D53" s="135">
        <f>Tráfico!C31+Tráfico!C40+Tráfico!C48</f>
        <v>764144996.05988979</v>
      </c>
      <c r="E53" s="135">
        <f>Tráfico!D31+Tráfico!D40+Tráfico!D48</f>
        <v>615996847.91174161</v>
      </c>
      <c r="F53" s="135">
        <f>Tráfico!E31+Tráfico!E40+Tráfico!E48</f>
        <v>732998974.12515676</v>
      </c>
      <c r="G53" s="135">
        <f>Tráfico!F31+Tráfico!F40+Tráfico!F48</f>
        <v>667776131.31198001</v>
      </c>
      <c r="H53" s="135">
        <f>Tráfico!G31+Tráfico!G40+Tráfico!G48</f>
        <v>675549982.90208602</v>
      </c>
      <c r="I53" s="135">
        <f>Tráfico!H31+Tráfico!H40+Tráfico!H48</f>
        <v>791085073.8665309</v>
      </c>
      <c r="J53" s="135">
        <f>Tráfico!I31+Tráfico!I40+Tráfico!I48</f>
        <v>643199184.92103934</v>
      </c>
      <c r="K53" s="135">
        <f>Tráfico!J31+Tráfico!J40+Tráfico!J48</f>
        <v>643861436.5766685</v>
      </c>
      <c r="L53" s="135">
        <f>Tráfico!K31+Tráfico!K40+Tráfico!K48</f>
        <v>712335584.78492713</v>
      </c>
      <c r="M53" s="135">
        <f>Tráfico!L31+Tráfico!L40+Tráfico!L48</f>
        <v>719208437.01860404</v>
      </c>
      <c r="N53" s="135">
        <f>Tráfico!M31+Tráfico!M40+Tráfico!M48</f>
        <v>643370067.54354787</v>
      </c>
      <c r="O53" s="150">
        <f t="shared" ref="O53:O57" si="7">SUM(C53:N53)</f>
        <v>8305980617.7313938</v>
      </c>
    </row>
    <row r="54" spans="1:16">
      <c r="A54" s="59"/>
      <c r="B54" s="173" t="s">
        <v>90</v>
      </c>
      <c r="C54" s="135">
        <f>Tráfico!B27+Tráfico!B36+Tráfico!B44</f>
        <v>17411347.517730493</v>
      </c>
      <c r="D54" s="135">
        <f>Tráfico!C27+Tráfico!C36+Tráfico!C44</f>
        <v>19103624.901497245</v>
      </c>
      <c r="E54" s="135">
        <f>Tráfico!D27+Tráfico!D36+Tráfico!D44</f>
        <v>15399921.197793538</v>
      </c>
      <c r="F54" s="135">
        <f>Tráfico!E27+Tráfico!E36+Tráfico!E44</f>
        <v>18324974.353128918</v>
      </c>
      <c r="G54" s="135">
        <f>Tráfico!F27+Tráfico!F36+Tráfico!F44</f>
        <v>16694403.282799497</v>
      </c>
      <c r="H54" s="135">
        <f>Tráfico!G27+Tráfico!G36+Tráfico!G44</f>
        <v>16888749.572552148</v>
      </c>
      <c r="I54" s="135">
        <f>Tráfico!H27+Tráfico!H36+Tráfico!H44</f>
        <v>19777126.84666327</v>
      </c>
      <c r="J54" s="135">
        <f>Tráfico!I27+Tráfico!I36+Tráfico!I44</f>
        <v>16079979.62302598</v>
      </c>
      <c r="K54" s="135">
        <f>Tráfico!J27+Tráfico!J36+Tráfico!J44</f>
        <v>16096535.914416708</v>
      </c>
      <c r="L54" s="135">
        <f>Tráfico!K27+Tráfico!K36+Tráfico!K44</f>
        <v>17808389.619623177</v>
      </c>
      <c r="M54" s="135">
        <f>Tráfico!L27+Tráfico!L36+Tráfico!L44</f>
        <v>17980210.925465103</v>
      </c>
      <c r="N54" s="135">
        <f>Tráfico!M27+Tráfico!M36+Tráfico!M44</f>
        <v>16084251.688588696</v>
      </c>
      <c r="O54" s="150">
        <f t="shared" si="7"/>
        <v>207649515.44328478</v>
      </c>
    </row>
    <row r="55" spans="1:16">
      <c r="A55" s="59"/>
      <c r="B55" s="174" t="s">
        <v>190</v>
      </c>
      <c r="C55" s="135">
        <f>Tráfico!B60</f>
        <v>6000000</v>
      </c>
      <c r="D55" s="135">
        <f>Tráfico!C60</f>
        <v>6000000</v>
      </c>
      <c r="E55" s="135">
        <f>Tráfico!D60</f>
        <v>7000000</v>
      </c>
      <c r="F55" s="135">
        <f>Tráfico!E60</f>
        <v>7000000</v>
      </c>
      <c r="G55" s="135">
        <f>Tráfico!F60</f>
        <v>7000000</v>
      </c>
      <c r="H55" s="135">
        <f>Tráfico!G60</f>
        <v>6000000</v>
      </c>
      <c r="I55" s="135">
        <f>Tráfico!H60</f>
        <v>6000000</v>
      </c>
      <c r="J55" s="135">
        <f>Tráfico!I60</f>
        <v>6000000</v>
      </c>
      <c r="K55" s="135">
        <f>Tráfico!J60</f>
        <v>7000000</v>
      </c>
      <c r="L55" s="135">
        <f>Tráfico!K60</f>
        <v>6000000</v>
      </c>
      <c r="M55" s="135">
        <f>Tráfico!L60</f>
        <v>7000000</v>
      </c>
      <c r="N55" s="135">
        <f>Tráfico!M60</f>
        <v>6000000</v>
      </c>
      <c r="O55" s="150"/>
    </row>
    <row r="56" spans="1:16">
      <c r="A56" s="59"/>
      <c r="B56" s="174" t="s">
        <v>191</v>
      </c>
      <c r="C56" s="135">
        <f>Tráfico!B52-Tráfico!B60</f>
        <v>11411347.517730493</v>
      </c>
      <c r="D56" s="135">
        <f>Tráfico!C52-Tráfico!C60</f>
        <v>13103624.901497245</v>
      </c>
      <c r="E56" s="135">
        <f>Tráfico!D52-Tráfico!D60</f>
        <v>8399921.1977935378</v>
      </c>
      <c r="F56" s="135">
        <f>Tráfico!E52-Tráfico!E60</f>
        <v>11324974.353128918</v>
      </c>
      <c r="G56" s="135">
        <f>Tráfico!F52-Tráfico!F60</f>
        <v>9694403.2827994972</v>
      </c>
      <c r="H56" s="135">
        <f>Tráfico!G52-Tráfico!G60</f>
        <v>10888749.572552148</v>
      </c>
      <c r="I56" s="135">
        <f>Tráfico!H52-Tráfico!H60</f>
        <v>13777126.84666327</v>
      </c>
      <c r="J56" s="135">
        <f>Tráfico!I52-Tráfico!I60</f>
        <v>10079979.62302598</v>
      </c>
      <c r="K56" s="135">
        <f>Tráfico!J52-Tráfico!J60</f>
        <v>9096535.9144167081</v>
      </c>
      <c r="L56" s="135">
        <f>Tráfico!K52-Tráfico!K60</f>
        <v>11808389.619623177</v>
      </c>
      <c r="M56" s="135">
        <f>Tráfico!L52-Tráfico!L60</f>
        <v>10980210.925465103</v>
      </c>
      <c r="N56" s="135">
        <f>Tráfico!M52-Tráfico!M60</f>
        <v>10084251.688588696</v>
      </c>
      <c r="O56" s="150"/>
    </row>
    <row r="57" spans="1:16">
      <c r="A57" s="59"/>
      <c r="B57" s="173" t="s">
        <v>148</v>
      </c>
      <c r="C57" s="135">
        <f>HLOOKUP(C$52,DEMANDA!$C$42:$N$47,6,FALSE)</f>
        <v>1940000</v>
      </c>
      <c r="D57" s="135">
        <f>HLOOKUP(D$52,DEMANDA!$C$42:$N$47,6,FALSE)</f>
        <v>1930000</v>
      </c>
      <c r="E57" s="135">
        <f>HLOOKUP(E$52,DEMANDA!$C$42:$N$47,6,FALSE)</f>
        <v>1790000</v>
      </c>
      <c r="F57" s="135">
        <f>HLOOKUP(F$52,DEMANDA!$C$42:$N$47,6,FALSE)</f>
        <v>2250000</v>
      </c>
      <c r="G57" s="135">
        <f>HLOOKUP(G$52,DEMANDA!$C$42:$N$47,6,FALSE)</f>
        <v>1790000</v>
      </c>
      <c r="H57" s="135">
        <f>HLOOKUP(H$52,DEMANDA!$C$42:$N$47,6,FALSE)</f>
        <v>2220000</v>
      </c>
      <c r="I57" s="135">
        <f>HLOOKUP(I$52,DEMANDA!$C$42:$N$47,6,FALSE)</f>
        <v>1800000</v>
      </c>
      <c r="J57" s="135">
        <f>HLOOKUP(J$52,DEMANDA!$C$42:$N$47,6,FALSE)</f>
        <v>2240000</v>
      </c>
      <c r="K57" s="135">
        <f>HLOOKUP(K$52,DEMANDA!$C$42:$N$47,6,FALSE)</f>
        <v>1890000</v>
      </c>
      <c r="L57" s="135">
        <f>HLOOKUP(L$52,DEMANDA!$C$42:$N$47,6,FALSE)</f>
        <v>2460000</v>
      </c>
      <c r="M57" s="135">
        <f>HLOOKUP(M$52,DEMANDA!$C$42:$N$47,6,FALSE)</f>
        <v>2510000</v>
      </c>
      <c r="N57" s="135">
        <f>HLOOKUP(N$52,DEMANDA!$C$42:$N$47,6,FALSE)</f>
        <v>1950000</v>
      </c>
      <c r="O57" s="150">
        <f t="shared" si="7"/>
        <v>24770000</v>
      </c>
    </row>
    <row r="58" spans="1:16">
      <c r="A58" s="59"/>
      <c r="B58" s="136" t="s">
        <v>23</v>
      </c>
      <c r="C58" s="222">
        <f t="shared" ref="C58:N58" si="8">SUM(C53,C54,C57)</f>
        <v>715805248.22695029</v>
      </c>
      <c r="D58" s="137">
        <f t="shared" si="8"/>
        <v>785178620.96138704</v>
      </c>
      <c r="E58" s="137">
        <f t="shared" si="8"/>
        <v>633186769.1095351</v>
      </c>
      <c r="F58" s="137">
        <f t="shared" si="8"/>
        <v>753573948.47828567</v>
      </c>
      <c r="G58" s="137">
        <f t="shared" si="8"/>
        <v>686260534.59477949</v>
      </c>
      <c r="H58" s="137">
        <f t="shared" si="8"/>
        <v>694658732.47463822</v>
      </c>
      <c r="I58" s="137">
        <f t="shared" si="8"/>
        <v>812662200.71319413</v>
      </c>
      <c r="J58" s="137">
        <f t="shared" si="8"/>
        <v>661519164.54406536</v>
      </c>
      <c r="K58" s="137">
        <f t="shared" si="8"/>
        <v>661847972.49108517</v>
      </c>
      <c r="L58" s="137">
        <f t="shared" si="8"/>
        <v>732603974.40455031</v>
      </c>
      <c r="M58" s="137">
        <f t="shared" si="8"/>
        <v>739698647.94406915</v>
      </c>
      <c r="N58" s="137">
        <f t="shared" si="8"/>
        <v>661404319.23213661</v>
      </c>
      <c r="O58" s="151">
        <f>SUM(O53:O57)</f>
        <v>8538400133.1746788</v>
      </c>
    </row>
    <row r="59" spans="1:16">
      <c r="A59" s="59"/>
      <c r="B59" s="152" t="s">
        <v>149</v>
      </c>
      <c r="C59" s="153">
        <f t="shared" ref="C59:N59" si="9">+ROUNDUP(C58/$F$67,0)</f>
        <v>858966298</v>
      </c>
      <c r="D59" s="153">
        <f t="shared" si="9"/>
        <v>942214346</v>
      </c>
      <c r="E59" s="153">
        <f t="shared" si="9"/>
        <v>759824123</v>
      </c>
      <c r="F59" s="153">
        <f t="shared" si="9"/>
        <v>904288739</v>
      </c>
      <c r="G59" s="153">
        <f t="shared" si="9"/>
        <v>823512642</v>
      </c>
      <c r="H59" s="153">
        <f t="shared" si="9"/>
        <v>833590479</v>
      </c>
      <c r="I59" s="153">
        <f t="shared" si="9"/>
        <v>975194641</v>
      </c>
      <c r="J59" s="153">
        <f t="shared" si="9"/>
        <v>793822998</v>
      </c>
      <c r="K59" s="153">
        <f t="shared" si="9"/>
        <v>794217567</v>
      </c>
      <c r="L59" s="153">
        <f t="shared" si="9"/>
        <v>879124770</v>
      </c>
      <c r="M59" s="153">
        <f t="shared" si="9"/>
        <v>887638378</v>
      </c>
      <c r="N59" s="153">
        <f t="shared" si="9"/>
        <v>793685184</v>
      </c>
      <c r="O59" s="151">
        <f>SUM(C59:N59)</f>
        <v>10246080165</v>
      </c>
      <c r="P59" s="128"/>
    </row>
    <row r="60" spans="1:16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6">
      <c r="B61" s="138" t="s">
        <v>135</v>
      </c>
      <c r="C61" s="139">
        <f>MAX(C58:N58)</f>
        <v>812662200.71319413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spans="1:16">
      <c r="B62" s="138" t="s">
        <v>136</v>
      </c>
      <c r="C62" s="139">
        <f t="shared" ref="C62:N62" si="10">IF(C58=$C$61,1,0)</f>
        <v>0</v>
      </c>
      <c r="D62" s="139">
        <f t="shared" si="10"/>
        <v>0</v>
      </c>
      <c r="E62" s="139">
        <f t="shared" si="10"/>
        <v>0</v>
      </c>
      <c r="F62" s="139">
        <f t="shared" si="10"/>
        <v>0</v>
      </c>
      <c r="G62" s="139">
        <f t="shared" si="10"/>
        <v>0</v>
      </c>
      <c r="H62" s="139">
        <f t="shared" si="10"/>
        <v>0</v>
      </c>
      <c r="I62" s="139">
        <f t="shared" si="10"/>
        <v>1</v>
      </c>
      <c r="J62" s="139">
        <f t="shared" si="10"/>
        <v>0</v>
      </c>
      <c r="K62" s="139">
        <f t="shared" si="10"/>
        <v>0</v>
      </c>
      <c r="L62" s="139">
        <f t="shared" si="10"/>
        <v>0</v>
      </c>
      <c r="M62" s="139">
        <f t="shared" si="10"/>
        <v>0</v>
      </c>
      <c r="N62" s="139">
        <f t="shared" si="10"/>
        <v>0</v>
      </c>
    </row>
    <row r="63" spans="1:16">
      <c r="B63" s="138" t="s">
        <v>137</v>
      </c>
      <c r="C63" s="140">
        <f>INDEX(C52:N52,0,SUMPRODUCT(C62:N62,C51:N51))</f>
        <v>39995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1:16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2:14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2:14">
      <c r="B66" s="129" t="s">
        <v>138</v>
      </c>
      <c r="E66" s="154" t="s">
        <v>150</v>
      </c>
      <c r="F66" s="154" t="s">
        <v>298</v>
      </c>
    </row>
    <row r="67" spans="2:14">
      <c r="B67" s="141" t="s">
        <v>132</v>
      </c>
      <c r="C67" s="142">
        <f>+C63</f>
        <v>39995</v>
      </c>
      <c r="D67" s="155" t="s">
        <v>151</v>
      </c>
      <c r="E67" s="156">
        <f>DAY(EOMONTH(C67,0))</f>
        <v>31</v>
      </c>
      <c r="F67" s="290">
        <f>DEMANDA!I31</f>
        <v>0.83333333333333337</v>
      </c>
    </row>
    <row r="68" spans="2:14">
      <c r="B68" s="143" t="s">
        <v>71</v>
      </c>
      <c r="C68" s="144">
        <f>HLOOKUP(C$67,$C$52:$N$57,2,FALSE)</f>
        <v>791085073.8665309</v>
      </c>
      <c r="D68" s="157">
        <f>+ROUNDUP(C68/F$67,0)</f>
        <v>949302089</v>
      </c>
    </row>
    <row r="69" spans="2:14">
      <c r="B69" s="143" t="s">
        <v>90</v>
      </c>
      <c r="C69" s="144">
        <f>HLOOKUP(C$67,$C$52:$N$57,3,FALSE)</f>
        <v>19777126.84666327</v>
      </c>
      <c r="D69" s="157">
        <f>+ROUNDUP(C69/F$67,0)</f>
        <v>23732553</v>
      </c>
    </row>
    <row r="70" spans="2:14">
      <c r="B70" s="143" t="s">
        <v>148</v>
      </c>
      <c r="C70" s="221">
        <f>HLOOKUP(C$67,$C$52:$N$57,6,FALSE)</f>
        <v>1800000</v>
      </c>
      <c r="D70" s="157">
        <f>+ROUNDUP(C70/F$67,0)</f>
        <v>2160000</v>
      </c>
    </row>
    <row r="71" spans="2:14">
      <c r="B71" s="145" t="s">
        <v>23</v>
      </c>
      <c r="C71" s="224">
        <f>SUM(C68:C70)</f>
        <v>812662200.71319413</v>
      </c>
      <c r="D71" s="158">
        <f>SUM(D68:D70)</f>
        <v>975194642</v>
      </c>
      <c r="E71" s="59"/>
    </row>
    <row r="72" spans="2:14">
      <c r="D72" s="59"/>
      <c r="E72" s="128"/>
    </row>
    <row r="73" spans="2:14">
      <c r="B73" s="129" t="s">
        <v>139</v>
      </c>
    </row>
    <row r="74" spans="2:14">
      <c r="B74" s="141" t="s">
        <v>140</v>
      </c>
      <c r="C74" s="142">
        <f>+C67</f>
        <v>39995</v>
      </c>
      <c r="D74" s="159" t="s">
        <v>152</v>
      </c>
      <c r="E74" s="78"/>
    </row>
    <row r="75" spans="2:14">
      <c r="B75" s="143" t="s">
        <v>187</v>
      </c>
      <c r="C75" s="144">
        <f>+C$71*D75</f>
        <v>99726997.938913509</v>
      </c>
      <c r="D75" s="223">
        <f>HLOOKUP($C$74,$C$146:$N$153,8,FALSE)</f>
        <v>0.12271642245867087</v>
      </c>
      <c r="E75" s="78"/>
      <c r="F75" s="78"/>
    </row>
    <row r="76" spans="2:14">
      <c r="B76" s="143" t="s">
        <v>141</v>
      </c>
      <c r="C76" s="144">
        <f>+C$71*D76</f>
        <v>582124131.97953331</v>
      </c>
      <c r="D76" s="223">
        <f>HLOOKUP($C$102,$C$157:$N$164,8,FALSE)</f>
        <v>0.71631747049224126</v>
      </c>
      <c r="E76" s="78"/>
      <c r="F76" s="78"/>
    </row>
    <row r="77" spans="2:14">
      <c r="B77" s="143" t="s">
        <v>189</v>
      </c>
      <c r="C77" s="144">
        <f>+C$71*D77</f>
        <v>130731598.00446852</v>
      </c>
      <c r="D77" s="223">
        <f>HLOOKUP($C$74,$C$168:$N$175,8,FALSE)</f>
        <v>0.16086831390673539</v>
      </c>
      <c r="E77" s="78"/>
      <c r="F77" s="78"/>
    </row>
    <row r="78" spans="2:14">
      <c r="B78" s="145" t="s">
        <v>23</v>
      </c>
      <c r="C78" s="224">
        <f>SUM(C75:C77)</f>
        <v>812582727.92291534</v>
      </c>
      <c r="D78" s="225">
        <f>+C78/C71-1</f>
        <v>-9.7793142352475826E-5</v>
      </c>
    </row>
    <row r="79" spans="2:14">
      <c r="C79" s="59"/>
    </row>
    <row r="82" spans="1:79" ht="18.75">
      <c r="A82" s="130" t="s">
        <v>153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</row>
    <row r="84" spans="1:79">
      <c r="B84" s="129" t="s">
        <v>165</v>
      </c>
    </row>
    <row r="85" spans="1:79">
      <c r="B85" t="s">
        <v>166</v>
      </c>
      <c r="E85" s="162" t="s">
        <v>61</v>
      </c>
      <c r="H85" s="162" t="s">
        <v>60</v>
      </c>
      <c r="K85" s="162" t="s">
        <v>59</v>
      </c>
      <c r="N85" s="162" t="s">
        <v>58</v>
      </c>
    </row>
    <row r="86" spans="1:79">
      <c r="B86" s="59" t="s">
        <v>62</v>
      </c>
      <c r="C86" s="59"/>
      <c r="D86" s="59"/>
      <c r="E86" s="321">
        <v>5000000000</v>
      </c>
      <c r="F86" s="59"/>
      <c r="G86" s="59"/>
      <c r="H86" s="321">
        <v>1000000000</v>
      </c>
      <c r="I86" s="59"/>
      <c r="J86" s="59"/>
      <c r="K86" s="321">
        <v>800000000</v>
      </c>
      <c r="L86" s="59"/>
      <c r="M86" s="59"/>
      <c r="N86" s="321">
        <v>4000000000</v>
      </c>
    </row>
    <row r="88" spans="1:79">
      <c r="B88" s="129" t="s">
        <v>146</v>
      </c>
    </row>
    <row r="89" spans="1:79">
      <c r="B89" s="129"/>
      <c r="C89" s="131">
        <v>1</v>
      </c>
      <c r="D89" s="131">
        <f>+C89+1</f>
        <v>2</v>
      </c>
      <c r="E89" s="131">
        <f t="shared" ref="E89:N89" si="11">+D89+1</f>
        <v>3</v>
      </c>
      <c r="F89" s="131">
        <f t="shared" si="11"/>
        <v>4</v>
      </c>
      <c r="G89" s="131">
        <f t="shared" si="11"/>
        <v>5</v>
      </c>
      <c r="H89" s="131">
        <f t="shared" si="11"/>
        <v>6</v>
      </c>
      <c r="I89" s="131">
        <f t="shared" si="11"/>
        <v>7</v>
      </c>
      <c r="J89" s="131">
        <f t="shared" si="11"/>
        <v>8</v>
      </c>
      <c r="K89" s="131">
        <f t="shared" si="11"/>
        <v>9</v>
      </c>
      <c r="L89" s="131">
        <f t="shared" si="11"/>
        <v>10</v>
      </c>
      <c r="M89" s="131">
        <f t="shared" si="11"/>
        <v>11</v>
      </c>
      <c r="N89" s="131">
        <f t="shared" si="11"/>
        <v>12</v>
      </c>
    </row>
    <row r="90" spans="1:79">
      <c r="B90" s="132" t="s">
        <v>127</v>
      </c>
      <c r="C90" s="133">
        <v>39814</v>
      </c>
      <c r="D90" s="133">
        <v>39845</v>
      </c>
      <c r="E90" s="133">
        <v>39873</v>
      </c>
      <c r="F90" s="133">
        <v>39904</v>
      </c>
      <c r="G90" s="133">
        <v>39934</v>
      </c>
      <c r="H90" s="133">
        <v>39965</v>
      </c>
      <c r="I90" s="133">
        <v>39995</v>
      </c>
      <c r="J90" s="133">
        <v>40026</v>
      </c>
      <c r="K90" s="133">
        <v>40057</v>
      </c>
      <c r="L90" s="133">
        <v>40087</v>
      </c>
      <c r="M90" s="133">
        <v>40118</v>
      </c>
      <c r="N90" s="133">
        <v>40148</v>
      </c>
    </row>
    <row r="91" spans="1:79">
      <c r="B91" s="134" t="s">
        <v>154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59">
        <f>SUM(C91:N91)</f>
        <v>0</v>
      </c>
    </row>
    <row r="92" spans="1:79">
      <c r="B92" s="134" t="s">
        <v>155</v>
      </c>
      <c r="C92" s="135">
        <f>$E$86*Tráfico!B$58/SUM(Tráfico!$B$58:$D$58)</f>
        <v>1676912568.306011</v>
      </c>
      <c r="D92" s="135">
        <f>$E$86*Tráfico!C$58/SUM(Tráfico!$B$58:$D$58)</f>
        <v>1839898299.9392836</v>
      </c>
      <c r="E92" s="135">
        <f>$E$86*Tráfico!D$58/SUM(Tráfico!$B$58:$D$58)</f>
        <v>1483189131.7547054</v>
      </c>
      <c r="F92" s="135">
        <f>$H$86*Tráfico!E$58/SUM(Tráfico!$E$58:$G$58)</f>
        <v>353027075.6933617</v>
      </c>
      <c r="G92" s="135">
        <f>$H$86*Tráfico!F$58/SUM(Tráfico!$E$58:$G$58)</f>
        <v>321614440.36979288</v>
      </c>
      <c r="H92" s="135">
        <f>$H$86*Tráfico!G$58/SUM(Tráfico!$E$58:$G$58)</f>
        <v>325358483.9368453</v>
      </c>
      <c r="I92" s="135">
        <f>$K$86*Tráfico!H$58/SUM(Tráfico!$H$58:$J$58)</f>
        <v>304534980.6344071</v>
      </c>
      <c r="J92" s="135">
        <f>$K$86*Tráfico!I$58/SUM(Tráfico!$H$58:$J$58)</f>
        <v>247605039.95685637</v>
      </c>
      <c r="K92" s="135">
        <f>$K$86*Tráfico!J$58/SUM(Tráfico!$H$58:$J$58)</f>
        <v>247859979.40873656</v>
      </c>
      <c r="L92" s="135">
        <f>$N$86*Tráfico!K$58/SUM(Tráfico!$K$58:$M$58)</f>
        <v>1373233886.5347054</v>
      </c>
      <c r="M92" s="135">
        <f>$N$86*Tráfico!L$58/SUM(Tráfico!$K$58:$M$58)</f>
        <v>1386483306.8725655</v>
      </c>
      <c r="N92" s="135">
        <f>$N$86*Tráfico!M$58/SUM(Tráfico!$K$58:$M$58)</f>
        <v>1240282806.5927289</v>
      </c>
      <c r="O92" s="59">
        <f>SUM(C92:N92)</f>
        <v>10800000000</v>
      </c>
    </row>
    <row r="94" spans="1:79">
      <c r="B94" s="129" t="s">
        <v>156</v>
      </c>
    </row>
    <row r="95" spans="1:79">
      <c r="B95" s="129"/>
      <c r="C95" s="131">
        <v>1</v>
      </c>
      <c r="D95" s="131">
        <f>+C95+1</f>
        <v>2</v>
      </c>
      <c r="E95" s="131">
        <f t="shared" ref="E95:N95" si="12">+D95+1</f>
        <v>3</v>
      </c>
      <c r="F95" s="131">
        <f t="shared" si="12"/>
        <v>4</v>
      </c>
      <c r="G95" s="131">
        <f t="shared" si="12"/>
        <v>5</v>
      </c>
      <c r="H95" s="131">
        <f t="shared" si="12"/>
        <v>6</v>
      </c>
      <c r="I95" s="131">
        <f t="shared" si="12"/>
        <v>7</v>
      </c>
      <c r="J95" s="131">
        <f t="shared" si="12"/>
        <v>8</v>
      </c>
      <c r="K95" s="131">
        <f t="shared" si="12"/>
        <v>9</v>
      </c>
      <c r="L95" s="131">
        <f t="shared" si="12"/>
        <v>10</v>
      </c>
      <c r="M95" s="131">
        <f t="shared" si="12"/>
        <v>11</v>
      </c>
      <c r="N95" s="131">
        <f t="shared" si="12"/>
        <v>12</v>
      </c>
    </row>
    <row r="96" spans="1:79">
      <c r="B96" s="132" t="s">
        <v>127</v>
      </c>
      <c r="C96" s="133">
        <v>39814</v>
      </c>
      <c r="D96" s="133">
        <v>39845</v>
      </c>
      <c r="E96" s="133">
        <v>39873</v>
      </c>
      <c r="F96" s="133">
        <v>39904</v>
      </c>
      <c r="G96" s="133">
        <v>39934</v>
      </c>
      <c r="H96" s="133">
        <v>39965</v>
      </c>
      <c r="I96" s="133">
        <v>39995</v>
      </c>
      <c r="J96" s="133">
        <v>40026</v>
      </c>
      <c r="K96" s="133">
        <v>40057</v>
      </c>
      <c r="L96" s="133">
        <v>40087</v>
      </c>
      <c r="M96" s="133">
        <v>40118</v>
      </c>
      <c r="N96" s="133">
        <v>40148</v>
      </c>
    </row>
    <row r="97" spans="1:79">
      <c r="B97" s="134" t="s">
        <v>154</v>
      </c>
      <c r="C97" s="135">
        <f>ROUNDUP(C91*$F$36,0)</f>
        <v>0</v>
      </c>
      <c r="D97" s="135">
        <f t="shared" ref="D97:N97" si="13">ROUNDUP(D91*$F$36,0)</f>
        <v>0</v>
      </c>
      <c r="E97" s="135">
        <f t="shared" si="13"/>
        <v>0</v>
      </c>
      <c r="F97" s="135">
        <f t="shared" si="13"/>
        <v>0</v>
      </c>
      <c r="G97" s="135">
        <f t="shared" si="13"/>
        <v>0</v>
      </c>
      <c r="H97" s="135">
        <f t="shared" si="13"/>
        <v>0</v>
      </c>
      <c r="I97" s="135">
        <f t="shared" si="13"/>
        <v>0</v>
      </c>
      <c r="J97" s="135">
        <f t="shared" si="13"/>
        <v>0</v>
      </c>
      <c r="K97" s="135">
        <f t="shared" si="13"/>
        <v>0</v>
      </c>
      <c r="L97" s="135">
        <f t="shared" si="13"/>
        <v>0</v>
      </c>
      <c r="M97" s="135">
        <f t="shared" si="13"/>
        <v>0</v>
      </c>
      <c r="N97" s="135">
        <f t="shared" si="13"/>
        <v>0</v>
      </c>
      <c r="O97" s="59">
        <f>SUM(C97:N97)</f>
        <v>0</v>
      </c>
    </row>
    <row r="98" spans="1:79">
      <c r="B98" s="134" t="s">
        <v>155</v>
      </c>
      <c r="C98" s="135">
        <f t="shared" ref="C98:N98" si="14">ROUNDUP(C92*$F$36,0)</f>
        <v>1185000492</v>
      </c>
      <c r="D98" s="135">
        <f t="shared" si="14"/>
        <v>1300175353</v>
      </c>
      <c r="E98" s="135">
        <f t="shared" si="14"/>
        <v>1048104644</v>
      </c>
      <c r="F98" s="135">
        <f t="shared" si="14"/>
        <v>249468736</v>
      </c>
      <c r="G98" s="135">
        <f t="shared" si="14"/>
        <v>227270806</v>
      </c>
      <c r="H98" s="135">
        <f t="shared" si="14"/>
        <v>229916557</v>
      </c>
      <c r="I98" s="135">
        <f t="shared" si="14"/>
        <v>215201502</v>
      </c>
      <c r="J98" s="135">
        <f t="shared" si="14"/>
        <v>174971612</v>
      </c>
      <c r="K98" s="135">
        <f t="shared" si="14"/>
        <v>175151766</v>
      </c>
      <c r="L98" s="135">
        <f t="shared" si="14"/>
        <v>970404100</v>
      </c>
      <c r="M98" s="135">
        <f t="shared" si="14"/>
        <v>979766884</v>
      </c>
      <c r="N98" s="135">
        <f t="shared" si="14"/>
        <v>876453409</v>
      </c>
      <c r="O98" s="59">
        <f>SUM(C98:N98)</f>
        <v>7631885861</v>
      </c>
    </row>
    <row r="99" spans="1:79"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79">
      <c r="B100" s="138" t="s">
        <v>135</v>
      </c>
      <c r="C100" s="139">
        <f>MAX(C98:N98)</f>
        <v>1300175353</v>
      </c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</row>
    <row r="101" spans="1:79">
      <c r="B101" s="138" t="s">
        <v>136</v>
      </c>
      <c r="C101" s="139">
        <f>IF(C98=$C$100,1,0)</f>
        <v>0</v>
      </c>
      <c r="D101" s="139">
        <f t="shared" ref="D101:N101" si="15">IF(D98=$C$100,1,0)</f>
        <v>1</v>
      </c>
      <c r="E101" s="139">
        <f t="shared" si="15"/>
        <v>0</v>
      </c>
      <c r="F101" s="139">
        <f t="shared" si="15"/>
        <v>0</v>
      </c>
      <c r="G101" s="139">
        <f t="shared" si="15"/>
        <v>0</v>
      </c>
      <c r="H101" s="139">
        <f t="shared" si="15"/>
        <v>0</v>
      </c>
      <c r="I101" s="139">
        <f t="shared" si="15"/>
        <v>0</v>
      </c>
      <c r="J101" s="139">
        <f t="shared" si="15"/>
        <v>0</v>
      </c>
      <c r="K101" s="139">
        <f t="shared" si="15"/>
        <v>0</v>
      </c>
      <c r="L101" s="139">
        <f t="shared" si="15"/>
        <v>0</v>
      </c>
      <c r="M101" s="139">
        <f t="shared" si="15"/>
        <v>0</v>
      </c>
      <c r="N101" s="139">
        <f t="shared" si="15"/>
        <v>0</v>
      </c>
    </row>
    <row r="102" spans="1:79">
      <c r="B102" s="138" t="s">
        <v>137</v>
      </c>
      <c r="C102" s="140">
        <f>INDEX(C96:N96,0,SUMPRODUCT(C101:N101,C95:N95))</f>
        <v>39845</v>
      </c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</row>
    <row r="104" spans="1:79">
      <c r="B104" s="129" t="s">
        <v>138</v>
      </c>
      <c r="D104" s="154" t="s">
        <v>150</v>
      </c>
    </row>
    <row r="105" spans="1:79">
      <c r="B105" s="141" t="s">
        <v>127</v>
      </c>
      <c r="C105" s="142">
        <f>+C102</f>
        <v>39845</v>
      </c>
      <c r="D105" s="156">
        <f>DAY(EOMONTH(C105,0))</f>
        <v>28</v>
      </c>
    </row>
    <row r="106" spans="1:79">
      <c r="B106" s="143" t="s">
        <v>62</v>
      </c>
      <c r="C106" s="144">
        <f>HLOOKUP(C105,C96:N98,3,FALSE)</f>
        <v>1300175353</v>
      </c>
      <c r="D106" t="s">
        <v>192</v>
      </c>
    </row>
    <row r="109" spans="1:79" ht="18.75">
      <c r="A109" s="130" t="s">
        <v>157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</row>
    <row r="111" spans="1:79">
      <c r="B111" s="129" t="s">
        <v>165</v>
      </c>
    </row>
    <row r="112" spans="1:79">
      <c r="B112" t="s">
        <v>166</v>
      </c>
      <c r="E112" s="162" t="s">
        <v>61</v>
      </c>
      <c r="H112" s="162" t="s">
        <v>60</v>
      </c>
      <c r="K112" s="162" t="s">
        <v>59</v>
      </c>
      <c r="N112" s="162" t="s">
        <v>58</v>
      </c>
    </row>
    <row r="113" spans="2:15">
      <c r="B113" s="59" t="s">
        <v>63</v>
      </c>
      <c r="C113" s="59"/>
      <c r="D113" s="59"/>
      <c r="E113" s="321">
        <v>2000000</v>
      </c>
      <c r="F113" s="59"/>
      <c r="G113" s="59"/>
      <c r="H113" s="321">
        <v>2000000</v>
      </c>
      <c r="I113" s="59"/>
      <c r="J113" s="59"/>
      <c r="K113" s="321">
        <v>1000000</v>
      </c>
      <c r="L113" s="59"/>
      <c r="M113" s="59"/>
      <c r="N113" s="321">
        <v>3000000</v>
      </c>
    </row>
    <row r="115" spans="2:15">
      <c r="B115" s="129" t="s">
        <v>146</v>
      </c>
    </row>
    <row r="116" spans="2:15">
      <c r="B116" s="129"/>
      <c r="C116" s="131">
        <v>1</v>
      </c>
      <c r="D116" s="131">
        <f>+C116+1</f>
        <v>2</v>
      </c>
      <c r="E116" s="131">
        <f t="shared" ref="E116:N116" si="16">+D116+1</f>
        <v>3</v>
      </c>
      <c r="F116" s="131">
        <f t="shared" si="16"/>
        <v>4</v>
      </c>
      <c r="G116" s="131">
        <f t="shared" si="16"/>
        <v>5</v>
      </c>
      <c r="H116" s="131">
        <f t="shared" si="16"/>
        <v>6</v>
      </c>
      <c r="I116" s="131">
        <f t="shared" si="16"/>
        <v>7</v>
      </c>
      <c r="J116" s="131">
        <f t="shared" si="16"/>
        <v>8</v>
      </c>
      <c r="K116" s="131">
        <f t="shared" si="16"/>
        <v>9</v>
      </c>
      <c r="L116" s="131">
        <f t="shared" si="16"/>
        <v>10</v>
      </c>
      <c r="M116" s="131">
        <f t="shared" si="16"/>
        <v>11</v>
      </c>
      <c r="N116" s="131">
        <f t="shared" si="16"/>
        <v>12</v>
      </c>
    </row>
    <row r="117" spans="2:15">
      <c r="B117" s="132" t="s">
        <v>127</v>
      </c>
      <c r="C117" s="133">
        <v>39814</v>
      </c>
      <c r="D117" s="133">
        <v>39845</v>
      </c>
      <c r="E117" s="133">
        <v>39873</v>
      </c>
      <c r="F117" s="133">
        <v>39904</v>
      </c>
      <c r="G117" s="133">
        <v>39934</v>
      </c>
      <c r="H117" s="133">
        <v>39965</v>
      </c>
      <c r="I117" s="133">
        <v>39995</v>
      </c>
      <c r="J117" s="133">
        <v>40026</v>
      </c>
      <c r="K117" s="133">
        <v>40057</v>
      </c>
      <c r="L117" s="133">
        <v>40087</v>
      </c>
      <c r="M117" s="133">
        <v>40118</v>
      </c>
      <c r="N117" s="133">
        <v>40148</v>
      </c>
    </row>
    <row r="118" spans="2:15">
      <c r="B118" s="134" t="s">
        <v>158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59">
        <f>SUM(C118:N118)</f>
        <v>0</v>
      </c>
    </row>
    <row r="119" spans="2:15">
      <c r="B119" s="134" t="s">
        <v>159</v>
      </c>
      <c r="C119" s="135">
        <f>$E$113*Tráfico!B$58/SUM(Tráfico!$B$58:$D$58)</f>
        <v>670765.02732240432</v>
      </c>
      <c r="D119" s="135">
        <f>$E$113*Tráfico!C$58/SUM(Tráfico!$B$58:$D$58)</f>
        <v>735959.31997571338</v>
      </c>
      <c r="E119" s="135">
        <f>$E$113*Tráfico!D$58/SUM(Tráfico!$B$58:$D$58)</f>
        <v>593275.6527018823</v>
      </c>
      <c r="F119" s="135">
        <f>$H$113*Tráfico!E$58/SUM(Tráfico!$E$58:$G$58)</f>
        <v>706054.15138672339</v>
      </c>
      <c r="G119" s="135">
        <f>$H$113*Tráfico!F$58/SUM(Tráfico!$E$58:$G$58)</f>
        <v>643228.88073958573</v>
      </c>
      <c r="H119" s="135">
        <f>$H$113*Tráfico!G$58/SUM(Tráfico!$E$58:$G$58)</f>
        <v>650716.96787369053</v>
      </c>
      <c r="I119" s="135">
        <f>$K$113*Tráfico!H$58/SUM(Tráfico!$H$58:$J$58)</f>
        <v>380668.72579300887</v>
      </c>
      <c r="J119" s="135">
        <f>$K$113*Tráfico!I$58/SUM(Tráfico!$H$58:$J$58)</f>
        <v>309506.29994607047</v>
      </c>
      <c r="K119" s="135">
        <f>$K$113*Tráfico!J$58/SUM(Tráfico!$H$58:$J$58)</f>
        <v>309824.97426092072</v>
      </c>
      <c r="L119" s="135">
        <f>$N$113*Tráfico!K$58/SUM(Tráfico!$K$58:$M$58)</f>
        <v>1029925.414901029</v>
      </c>
      <c r="M119" s="135">
        <f>$N$113*Tráfico!L$58/SUM(Tráfico!$K$58:$M$58)</f>
        <v>1039862.4801544241</v>
      </c>
      <c r="N119" s="135">
        <f>$N$113*Tráfico!M$58/SUM(Tráfico!$K$58:$M$58)</f>
        <v>930212.10494454671</v>
      </c>
      <c r="O119" s="59">
        <f>SUM(C119:N119)</f>
        <v>8000000</v>
      </c>
    </row>
    <row r="121" spans="2:15">
      <c r="B121" s="129" t="s">
        <v>131</v>
      </c>
    </row>
    <row r="122" spans="2:15">
      <c r="B122" s="129"/>
      <c r="C122" s="131">
        <v>1</v>
      </c>
      <c r="D122" s="131">
        <f>+C122+1</f>
        <v>2</v>
      </c>
      <c r="E122" s="131">
        <f t="shared" ref="E122:N122" si="17">+D122+1</f>
        <v>3</v>
      </c>
      <c r="F122" s="131">
        <f t="shared" si="17"/>
        <v>4</v>
      </c>
      <c r="G122" s="131">
        <f t="shared" si="17"/>
        <v>5</v>
      </c>
      <c r="H122" s="131">
        <f t="shared" si="17"/>
        <v>6</v>
      </c>
      <c r="I122" s="131">
        <f t="shared" si="17"/>
        <v>7</v>
      </c>
      <c r="J122" s="131">
        <f t="shared" si="17"/>
        <v>8</v>
      </c>
      <c r="K122" s="131">
        <f t="shared" si="17"/>
        <v>9</v>
      </c>
      <c r="L122" s="131">
        <f t="shared" si="17"/>
        <v>10</v>
      </c>
      <c r="M122" s="131">
        <f t="shared" si="17"/>
        <v>11</v>
      </c>
      <c r="N122" s="131">
        <f t="shared" si="17"/>
        <v>12</v>
      </c>
    </row>
    <row r="123" spans="2:15">
      <c r="B123" s="132" t="s">
        <v>127</v>
      </c>
      <c r="C123" s="133">
        <v>39814</v>
      </c>
      <c r="D123" s="133">
        <v>39845</v>
      </c>
      <c r="E123" s="133">
        <v>39873</v>
      </c>
      <c r="F123" s="133">
        <v>39904</v>
      </c>
      <c r="G123" s="133">
        <v>39934</v>
      </c>
      <c r="H123" s="133">
        <v>39965</v>
      </c>
      <c r="I123" s="133">
        <v>39995</v>
      </c>
      <c r="J123" s="133">
        <v>40026</v>
      </c>
      <c r="K123" s="133">
        <v>40057</v>
      </c>
      <c r="L123" s="133">
        <v>40087</v>
      </c>
      <c r="M123" s="133">
        <v>40118</v>
      </c>
      <c r="N123" s="133">
        <v>40148</v>
      </c>
    </row>
    <row r="124" spans="2:15">
      <c r="B124" s="134" t="s">
        <v>158</v>
      </c>
      <c r="C124" s="135">
        <f>ROUNDUP(C118*$F$36,0)</f>
        <v>0</v>
      </c>
      <c r="D124" s="135">
        <f t="shared" ref="D124:N124" si="18">ROUNDUP(D118*$F$36,0)</f>
        <v>0</v>
      </c>
      <c r="E124" s="135">
        <f t="shared" si="18"/>
        <v>0</v>
      </c>
      <c r="F124" s="135">
        <f t="shared" si="18"/>
        <v>0</v>
      </c>
      <c r="G124" s="135">
        <f t="shared" si="18"/>
        <v>0</v>
      </c>
      <c r="H124" s="135">
        <f t="shared" si="18"/>
        <v>0</v>
      </c>
      <c r="I124" s="135">
        <f t="shared" si="18"/>
        <v>0</v>
      </c>
      <c r="J124" s="135">
        <f t="shared" si="18"/>
        <v>0</v>
      </c>
      <c r="K124" s="135">
        <f t="shared" si="18"/>
        <v>0</v>
      </c>
      <c r="L124" s="135">
        <f t="shared" si="18"/>
        <v>0</v>
      </c>
      <c r="M124" s="135">
        <f t="shared" si="18"/>
        <v>0</v>
      </c>
      <c r="N124" s="135">
        <f t="shared" si="18"/>
        <v>0</v>
      </c>
      <c r="O124" s="59">
        <f>SUM(C124:N124)</f>
        <v>0</v>
      </c>
    </row>
    <row r="125" spans="2:15">
      <c r="B125" s="134" t="s">
        <v>159</v>
      </c>
      <c r="C125" s="135">
        <f t="shared" ref="C125:N125" si="19">ROUNDUP(C119*$F$36,0)</f>
        <v>474001</v>
      </c>
      <c r="D125" s="135">
        <f t="shared" si="19"/>
        <v>520071</v>
      </c>
      <c r="E125" s="135">
        <f t="shared" si="19"/>
        <v>419242</v>
      </c>
      <c r="F125" s="135">
        <f t="shared" si="19"/>
        <v>498938</v>
      </c>
      <c r="G125" s="135">
        <f t="shared" si="19"/>
        <v>454542</v>
      </c>
      <c r="H125" s="135">
        <f t="shared" si="19"/>
        <v>459834</v>
      </c>
      <c r="I125" s="135">
        <f t="shared" si="19"/>
        <v>269002</v>
      </c>
      <c r="J125" s="135">
        <f t="shared" si="19"/>
        <v>218715</v>
      </c>
      <c r="K125" s="135">
        <f t="shared" si="19"/>
        <v>218940</v>
      </c>
      <c r="L125" s="135">
        <f t="shared" si="19"/>
        <v>727804</v>
      </c>
      <c r="M125" s="135">
        <f t="shared" si="19"/>
        <v>734826</v>
      </c>
      <c r="N125" s="135">
        <f t="shared" si="19"/>
        <v>657341</v>
      </c>
      <c r="O125" s="59">
        <f>SUM(C125:N125)</f>
        <v>5653256</v>
      </c>
    </row>
    <row r="126" spans="2:15"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2:15">
      <c r="B127" s="138" t="s">
        <v>135</v>
      </c>
      <c r="C127" s="139">
        <f>MAX(C125:N125)</f>
        <v>734826</v>
      </c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</row>
    <row r="128" spans="2:15">
      <c r="B128" s="138" t="s">
        <v>136</v>
      </c>
      <c r="C128" s="139">
        <f>IF(C125=$C$127,1,0)</f>
        <v>0</v>
      </c>
      <c r="D128" s="139">
        <f t="shared" ref="D128:N128" si="20">IF(D125=$C$127,1,0)</f>
        <v>0</v>
      </c>
      <c r="E128" s="139">
        <f t="shared" si="20"/>
        <v>0</v>
      </c>
      <c r="F128" s="139">
        <f t="shared" si="20"/>
        <v>0</v>
      </c>
      <c r="G128" s="139">
        <f t="shared" si="20"/>
        <v>0</v>
      </c>
      <c r="H128" s="139">
        <f t="shared" si="20"/>
        <v>0</v>
      </c>
      <c r="I128" s="139">
        <f t="shared" si="20"/>
        <v>0</v>
      </c>
      <c r="J128" s="139">
        <f t="shared" si="20"/>
        <v>0</v>
      </c>
      <c r="K128" s="139">
        <f t="shared" si="20"/>
        <v>0</v>
      </c>
      <c r="L128" s="139">
        <f t="shared" si="20"/>
        <v>0</v>
      </c>
      <c r="M128" s="139">
        <f t="shared" si="20"/>
        <v>1</v>
      </c>
      <c r="N128" s="139">
        <f t="shared" si="20"/>
        <v>0</v>
      </c>
    </row>
    <row r="129" spans="1:79">
      <c r="B129" s="138" t="s">
        <v>137</v>
      </c>
      <c r="C129" s="140">
        <f>INDEX(C123:N123,0,SUMPRODUCT(C128:N128,C122:N122))</f>
        <v>40118</v>
      </c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</row>
    <row r="131" spans="1:79">
      <c r="B131" s="129" t="s">
        <v>138</v>
      </c>
      <c r="D131" s="154" t="s">
        <v>150</v>
      </c>
    </row>
    <row r="132" spans="1:79">
      <c r="B132" s="141" t="s">
        <v>127</v>
      </c>
      <c r="C132" s="142">
        <f>+C129</f>
        <v>40118</v>
      </c>
      <c r="D132" s="156">
        <f>DAY(EOMONTH(C132,0))</f>
        <v>30</v>
      </c>
    </row>
    <row r="133" spans="1:79">
      <c r="B133" s="143" t="s">
        <v>63</v>
      </c>
      <c r="C133" s="144">
        <f>HLOOKUP(C132,C123:N125,3,FALSE)</f>
        <v>734826</v>
      </c>
      <c r="D133" t="s">
        <v>193</v>
      </c>
    </row>
    <row r="135" spans="1:79">
      <c r="B135" s="129" t="s">
        <v>139</v>
      </c>
    </row>
    <row r="136" spans="1:79">
      <c r="B136" s="141" t="s">
        <v>140</v>
      </c>
      <c r="C136" s="142">
        <f>+C132</f>
        <v>40118</v>
      </c>
      <c r="D136" s="159" t="s">
        <v>194</v>
      </c>
    </row>
    <row r="137" spans="1:79">
      <c r="B137" s="143" t="s">
        <v>187</v>
      </c>
      <c r="C137" s="144">
        <f>+C$133*D137</f>
        <v>93921.101052201862</v>
      </c>
      <c r="D137" s="160">
        <f>HLOOKUP($C$132,$C$146:$N$153,8,FALSE)</f>
        <v>0.12781406897986988</v>
      </c>
    </row>
    <row r="138" spans="1:79">
      <c r="B138" s="143" t="s">
        <v>141</v>
      </c>
      <c r="C138" s="144">
        <f>+C$133*D138</f>
        <v>524743.29847576946</v>
      </c>
      <c r="D138" s="160">
        <f>HLOOKUP($C$132,$C$157:$N$164,8,FALSE)</f>
        <v>0.71410551406151868</v>
      </c>
    </row>
    <row r="139" spans="1:79">
      <c r="B139" s="143" t="s">
        <v>189</v>
      </c>
      <c r="C139" s="144">
        <f>+C$133*D139</f>
        <v>116161.60047202861</v>
      </c>
      <c r="D139" s="160">
        <f>HLOOKUP($C$132,$C$168:$N$175,8,FALSE)</f>
        <v>0.15808041695861144</v>
      </c>
    </row>
    <row r="140" spans="1:79">
      <c r="B140" s="145" t="s">
        <v>23</v>
      </c>
      <c r="C140" s="137">
        <f>SUM(C137:C139)</f>
        <v>734825.99999999988</v>
      </c>
    </row>
    <row r="142" spans="1:79" ht="18.75">
      <c r="A142" s="130" t="s">
        <v>160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  <c r="BQ142" s="130"/>
      <c r="BR142" s="130"/>
      <c r="BS142" s="130"/>
      <c r="BT142" s="130"/>
      <c r="BU142" s="130"/>
      <c r="BV142" s="130"/>
      <c r="BW142" s="130"/>
      <c r="BX142" s="130"/>
      <c r="BY142" s="130"/>
      <c r="BZ142" s="130"/>
      <c r="CA142" s="130"/>
    </row>
    <row r="144" spans="1:79">
      <c r="B144" s="129" t="s">
        <v>186</v>
      </c>
    </row>
    <row r="145" spans="1:14">
      <c r="B145" s="129"/>
      <c r="C145" s="131">
        <v>1</v>
      </c>
      <c r="D145" s="131">
        <f>+C145+1</f>
        <v>2</v>
      </c>
      <c r="E145" s="131">
        <f t="shared" ref="E145:N145" si="21">+D145+1</f>
        <v>3</v>
      </c>
      <c r="F145" s="131">
        <f t="shared" si="21"/>
        <v>4</v>
      </c>
      <c r="G145" s="131">
        <f t="shared" si="21"/>
        <v>5</v>
      </c>
      <c r="H145" s="131">
        <f t="shared" si="21"/>
        <v>6</v>
      </c>
      <c r="I145" s="131">
        <f t="shared" si="21"/>
        <v>7</v>
      </c>
      <c r="J145" s="131">
        <f t="shared" si="21"/>
        <v>8</v>
      </c>
      <c r="K145" s="131">
        <f t="shared" si="21"/>
        <v>9</v>
      </c>
      <c r="L145" s="131">
        <f t="shared" si="21"/>
        <v>10</v>
      </c>
      <c r="M145" s="131">
        <f t="shared" si="21"/>
        <v>11</v>
      </c>
      <c r="N145" s="131">
        <f t="shared" si="21"/>
        <v>12</v>
      </c>
    </row>
    <row r="146" spans="1:14">
      <c r="A146" s="131"/>
      <c r="B146" s="132" t="s">
        <v>132</v>
      </c>
      <c r="C146" s="133">
        <v>39814</v>
      </c>
      <c r="D146" s="133">
        <v>39845</v>
      </c>
      <c r="E146" s="133">
        <v>39873</v>
      </c>
      <c r="F146" s="133">
        <v>39904</v>
      </c>
      <c r="G146" s="133">
        <v>39934</v>
      </c>
      <c r="H146" s="133">
        <v>39965</v>
      </c>
      <c r="I146" s="133">
        <v>39995</v>
      </c>
      <c r="J146" s="133">
        <v>40026</v>
      </c>
      <c r="K146" s="133">
        <v>40057</v>
      </c>
      <c r="L146" s="133">
        <v>40087</v>
      </c>
      <c r="M146" s="133">
        <v>40118</v>
      </c>
      <c r="N146" s="133">
        <v>40148</v>
      </c>
    </row>
    <row r="147" spans="1:14">
      <c r="A147" s="131"/>
      <c r="B147" s="134" t="s">
        <v>71</v>
      </c>
      <c r="C147" s="135">
        <f>HLOOKUP(C$146,Líneas!$C$4:$N$8,2,FALSE)</f>
        <v>866500</v>
      </c>
      <c r="D147" s="135">
        <f>HLOOKUP(D$146,Líneas!$C$4:$N$8,2,FALSE)</f>
        <v>855800</v>
      </c>
      <c r="E147" s="135">
        <f>HLOOKUP(E$146,Líneas!$C$4:$N$8,2,FALSE)</f>
        <v>862400</v>
      </c>
      <c r="F147" s="135">
        <f>HLOOKUP(F$146,Líneas!$C$4:$N$8,2,FALSE)</f>
        <v>845900</v>
      </c>
      <c r="G147" s="135">
        <f>HLOOKUP(G$146,Líneas!$C$4:$N$8,2,FALSE)</f>
        <v>863500</v>
      </c>
      <c r="H147" s="135">
        <f>HLOOKUP(H$146,Líneas!$C$4:$N$8,2,FALSE)</f>
        <v>835300</v>
      </c>
      <c r="I147" s="135">
        <f>HLOOKUP(I$146,Líneas!$C$4:$N$8,2,FALSE)</f>
        <v>856600</v>
      </c>
      <c r="J147" s="135">
        <f>HLOOKUP(J$146,Líneas!$C$4:$N$8,2,FALSE)</f>
        <v>852700</v>
      </c>
      <c r="K147" s="135">
        <f>HLOOKUP(K$146,Líneas!$C$4:$N$8,2,FALSE)</f>
        <v>865500</v>
      </c>
      <c r="L147" s="135">
        <f>HLOOKUP(L$146,Líneas!$C$4:$N$8,2,FALSE)</f>
        <v>871500</v>
      </c>
      <c r="M147" s="135">
        <f>HLOOKUP(M$146,Líneas!$C$4:$N$8,2,FALSE)</f>
        <v>880600</v>
      </c>
      <c r="N147" s="135">
        <f>HLOOKUP(N$146,Líneas!$C$4:$N$8,2,FALSE)</f>
        <v>856300</v>
      </c>
    </row>
    <row r="148" spans="1:14">
      <c r="A148" s="131"/>
      <c r="B148" s="134" t="s">
        <v>90</v>
      </c>
      <c r="C148" s="135">
        <f>HLOOKUP(C$146,Líneas!$C$4:$N$8,3,FALSE)</f>
        <v>13670</v>
      </c>
      <c r="D148" s="135">
        <f>HLOOKUP(D$146,Líneas!$C$4:$N$8,3,FALSE)</f>
        <v>13386</v>
      </c>
      <c r="E148" s="135">
        <f>HLOOKUP(E$146,Líneas!$C$4:$N$8,3,FALSE)</f>
        <v>13384</v>
      </c>
      <c r="F148" s="135">
        <f>HLOOKUP(F$146,Líneas!$C$4:$N$8,3,FALSE)</f>
        <v>13324</v>
      </c>
      <c r="G148" s="135">
        <f>HLOOKUP(G$146,Líneas!$C$4:$N$8,3,FALSE)</f>
        <v>13295</v>
      </c>
      <c r="H148" s="135">
        <f>HLOOKUP(H$146,Líneas!$C$4:$N$8,3,FALSE)</f>
        <v>13325</v>
      </c>
      <c r="I148" s="135">
        <f>HLOOKUP(I$146,Líneas!$C$4:$N$8,3,FALSE)</f>
        <v>13241</v>
      </c>
      <c r="J148" s="135">
        <f>HLOOKUP(J$146,Líneas!$C$4:$N$8,3,FALSE)</f>
        <v>13366</v>
      </c>
      <c r="K148" s="135">
        <f>HLOOKUP(K$146,Líneas!$C$4:$N$8,3,FALSE)</f>
        <v>13234</v>
      </c>
      <c r="L148" s="135">
        <f>HLOOKUP(L$146,Líneas!$C$4:$N$8,3,FALSE)</f>
        <v>13772</v>
      </c>
      <c r="M148" s="135">
        <f>HLOOKUP(M$146,Líneas!$C$4:$N$8,3,FALSE)</f>
        <v>13611</v>
      </c>
      <c r="N148" s="135">
        <f>HLOOKUP(N$146,Líneas!$C$4:$N$8,3,FALSE)</f>
        <v>13463</v>
      </c>
    </row>
    <row r="149" spans="1:14">
      <c r="A149" s="131"/>
      <c r="B149" s="134" t="s">
        <v>134</v>
      </c>
      <c r="C149" s="135">
        <f>HLOOKUP(C$146,Líneas!$C$4:$N$8,5,FALSE)</f>
        <v>68000</v>
      </c>
      <c r="D149" s="135">
        <f>HLOOKUP(D$146,Líneas!$C$4:$N$8,5,FALSE)</f>
        <v>73000</v>
      </c>
      <c r="E149" s="135">
        <f>HLOOKUP(E$146,Líneas!$C$4:$N$8,5,FALSE)</f>
        <v>76000</v>
      </c>
      <c r="F149" s="135">
        <f>HLOOKUP(F$146,Líneas!$C$4:$N$8,5,FALSE)</f>
        <v>70000</v>
      </c>
      <c r="G149" s="135">
        <f>HLOOKUP(G$146,Líneas!$C$4:$N$8,5,FALSE)</f>
        <v>70000</v>
      </c>
      <c r="H149" s="135">
        <f>HLOOKUP(H$146,Líneas!$C$4:$N$8,5,FALSE)</f>
        <v>75000</v>
      </c>
      <c r="I149" s="135">
        <f>HLOOKUP(I$146,Líneas!$C$4:$N$8,5,FALSE)</f>
        <v>72000</v>
      </c>
      <c r="J149" s="135">
        <f>HLOOKUP(J$146,Líneas!$C$4:$N$8,5,FALSE)</f>
        <v>70000</v>
      </c>
      <c r="K149" s="135">
        <f>HLOOKUP(K$146,Líneas!$C$4:$N$8,5,FALSE)</f>
        <v>72000</v>
      </c>
      <c r="L149" s="135">
        <f>HLOOKUP(L$146,Líneas!$C$4:$N$8,5,FALSE)</f>
        <v>70000</v>
      </c>
      <c r="M149" s="135">
        <f>HLOOKUP(M$146,Líneas!$C$4:$N$8,5,FALSE)</f>
        <v>75000</v>
      </c>
      <c r="N149" s="135">
        <f>HLOOKUP(N$146,Líneas!$C$4:$N$8,5,FALSE)</f>
        <v>76000</v>
      </c>
    </row>
    <row r="150" spans="1:14">
      <c r="B150" s="136" t="s">
        <v>23</v>
      </c>
      <c r="C150" s="137">
        <f t="shared" ref="C150:N150" si="22">SUM(C147:C149)</f>
        <v>948170</v>
      </c>
      <c r="D150" s="137">
        <f t="shared" si="22"/>
        <v>942186</v>
      </c>
      <c r="E150" s="137">
        <f t="shared" si="22"/>
        <v>951784</v>
      </c>
      <c r="F150" s="137">
        <f t="shared" si="22"/>
        <v>929224</v>
      </c>
      <c r="G150" s="137">
        <f t="shared" si="22"/>
        <v>946795</v>
      </c>
      <c r="H150" s="137">
        <f t="shared" si="22"/>
        <v>923625</v>
      </c>
      <c r="I150" s="137">
        <f t="shared" si="22"/>
        <v>941841</v>
      </c>
      <c r="J150" s="137">
        <f t="shared" si="22"/>
        <v>936066</v>
      </c>
      <c r="K150" s="137">
        <f t="shared" si="22"/>
        <v>950734</v>
      </c>
      <c r="L150" s="137">
        <f t="shared" si="22"/>
        <v>955272</v>
      </c>
      <c r="M150" s="137">
        <f t="shared" si="22"/>
        <v>969211</v>
      </c>
      <c r="N150" s="137">
        <f t="shared" si="22"/>
        <v>945763</v>
      </c>
    </row>
    <row r="151" spans="1:14">
      <c r="B151" s="136" t="s">
        <v>161</v>
      </c>
      <c r="C151" s="137">
        <f t="shared" ref="C151:N151" si="23">SUM(C147:C148)</f>
        <v>880170</v>
      </c>
      <c r="D151" s="137">
        <f t="shared" si="23"/>
        <v>869186</v>
      </c>
      <c r="E151" s="137">
        <f t="shared" si="23"/>
        <v>875784</v>
      </c>
      <c r="F151" s="137">
        <f t="shared" si="23"/>
        <v>859224</v>
      </c>
      <c r="G151" s="137">
        <f t="shared" si="23"/>
        <v>876795</v>
      </c>
      <c r="H151" s="137">
        <f t="shared" si="23"/>
        <v>848625</v>
      </c>
      <c r="I151" s="137">
        <f t="shared" si="23"/>
        <v>869841</v>
      </c>
      <c r="J151" s="137">
        <f t="shared" si="23"/>
        <v>866066</v>
      </c>
      <c r="K151" s="137">
        <f t="shared" si="23"/>
        <v>878734</v>
      </c>
      <c r="L151" s="137">
        <f t="shared" si="23"/>
        <v>885272</v>
      </c>
      <c r="M151" s="137">
        <f t="shared" si="23"/>
        <v>894211</v>
      </c>
      <c r="N151" s="137">
        <f t="shared" si="23"/>
        <v>869763</v>
      </c>
    </row>
    <row r="152" spans="1:14">
      <c r="B152" s="136" t="s">
        <v>162</v>
      </c>
      <c r="C152" s="161">
        <f t="shared" ref="C152:N152" si="24">+C150/C$178</f>
        <v>0.13323691782709315</v>
      </c>
      <c r="D152" s="161">
        <f t="shared" si="24"/>
        <v>0.13031766058757513</v>
      </c>
      <c r="E152" s="161">
        <f t="shared" si="24"/>
        <v>0.1324350934686333</v>
      </c>
      <c r="F152" s="161">
        <f t="shared" si="24"/>
        <v>0.12913285331765029</v>
      </c>
      <c r="G152" s="161">
        <f t="shared" si="24"/>
        <v>0.13065981623623774</v>
      </c>
      <c r="H152" s="161">
        <f t="shared" si="24"/>
        <v>0.12897524429367019</v>
      </c>
      <c r="I152" s="161">
        <f t="shared" si="24"/>
        <v>0.12896243027048343</v>
      </c>
      <c r="J152" s="161">
        <f t="shared" si="24"/>
        <v>0.13008127143809853</v>
      </c>
      <c r="K152" s="161">
        <f t="shared" si="24"/>
        <v>0.13378723959949415</v>
      </c>
      <c r="L152" s="161">
        <f t="shared" si="24"/>
        <v>0.13176776192662171</v>
      </c>
      <c r="M152" s="161">
        <f t="shared" si="24"/>
        <v>0.13434793613583015</v>
      </c>
      <c r="N152" s="161">
        <f t="shared" si="24"/>
        <v>0.13065443051614525</v>
      </c>
    </row>
    <row r="153" spans="1:14">
      <c r="B153" s="136" t="s">
        <v>163</v>
      </c>
      <c r="C153" s="161">
        <f t="shared" ref="C153:N153" si="25">+C151/C$179</f>
        <v>0.1274976565966352</v>
      </c>
      <c r="D153" s="161">
        <f t="shared" si="25"/>
        <v>0.12392303417291163</v>
      </c>
      <c r="E153" s="161">
        <f t="shared" si="25"/>
        <v>0.12576244335704262</v>
      </c>
      <c r="F153" s="161">
        <f t="shared" si="25"/>
        <v>0.12304729455313256</v>
      </c>
      <c r="G153" s="161">
        <f t="shared" si="25"/>
        <v>0.12464637360575241</v>
      </c>
      <c r="H153" s="161">
        <f t="shared" si="25"/>
        <v>0.12232859149825479</v>
      </c>
      <c r="I153" s="161">
        <f t="shared" si="25"/>
        <v>0.12271642245867087</v>
      </c>
      <c r="J153" s="161">
        <f t="shared" si="25"/>
        <v>0.12406028985208299</v>
      </c>
      <c r="K153" s="161">
        <f t="shared" si="25"/>
        <v>0.12755030871728429</v>
      </c>
      <c r="L153" s="161">
        <f t="shared" si="25"/>
        <v>0.12588003635606648</v>
      </c>
      <c r="M153" s="161">
        <f t="shared" si="25"/>
        <v>0.12781406897986988</v>
      </c>
      <c r="N153" s="161">
        <f t="shared" si="25"/>
        <v>0.12385093397658437</v>
      </c>
    </row>
    <row r="155" spans="1:14">
      <c r="B155" s="129" t="s">
        <v>164</v>
      </c>
    </row>
    <row r="156" spans="1:14">
      <c r="B156" s="129"/>
      <c r="C156" s="131">
        <v>1</v>
      </c>
      <c r="D156" s="131">
        <f>+C156+1</f>
        <v>2</v>
      </c>
      <c r="E156" s="131">
        <f t="shared" ref="E156:N156" si="26">+D156+1</f>
        <v>3</v>
      </c>
      <c r="F156" s="131">
        <f t="shared" si="26"/>
        <v>4</v>
      </c>
      <c r="G156" s="131">
        <f t="shared" si="26"/>
        <v>5</v>
      </c>
      <c r="H156" s="131">
        <f t="shared" si="26"/>
        <v>6</v>
      </c>
      <c r="I156" s="131">
        <f t="shared" si="26"/>
        <v>7</v>
      </c>
      <c r="J156" s="131">
        <f t="shared" si="26"/>
        <v>8</v>
      </c>
      <c r="K156" s="131">
        <f t="shared" si="26"/>
        <v>9</v>
      </c>
      <c r="L156" s="131">
        <f t="shared" si="26"/>
        <v>10</v>
      </c>
      <c r="M156" s="131">
        <f t="shared" si="26"/>
        <v>11</v>
      </c>
      <c r="N156" s="131">
        <f t="shared" si="26"/>
        <v>12</v>
      </c>
    </row>
    <row r="157" spans="1:14">
      <c r="A157" s="131"/>
      <c r="B157" s="132" t="s">
        <v>132</v>
      </c>
      <c r="C157" s="133">
        <v>39814</v>
      </c>
      <c r="D157" s="133">
        <v>39845</v>
      </c>
      <c r="E157" s="133">
        <v>39873</v>
      </c>
      <c r="F157" s="133">
        <v>39904</v>
      </c>
      <c r="G157" s="133">
        <v>39934</v>
      </c>
      <c r="H157" s="133">
        <v>39965</v>
      </c>
      <c r="I157" s="133">
        <v>39995</v>
      </c>
      <c r="J157" s="133">
        <v>40026</v>
      </c>
      <c r="K157" s="133">
        <v>40057</v>
      </c>
      <c r="L157" s="133">
        <v>40087</v>
      </c>
      <c r="M157" s="133">
        <v>40118</v>
      </c>
      <c r="N157" s="133">
        <v>40148</v>
      </c>
    </row>
    <row r="158" spans="1:14">
      <c r="A158" s="131"/>
      <c r="B158" s="134" t="s">
        <v>71</v>
      </c>
      <c r="C158" s="135">
        <f>HLOOKUP(C$157,Líneas!$C$12:$N$16,2,FALSE)</f>
        <v>4851000</v>
      </c>
      <c r="D158" s="135">
        <f>HLOOKUP(D$157,Líneas!$C$12:$N$16,2,FALSE)</f>
        <v>4966000</v>
      </c>
      <c r="E158" s="135">
        <f>HLOOKUP(E$157,Líneas!$C$12:$N$16,2,FALSE)</f>
        <v>4974000</v>
      </c>
      <c r="F158" s="135">
        <f>HLOOKUP(F$157,Líneas!$C$12:$N$16,2,FALSE)</f>
        <v>4899000</v>
      </c>
      <c r="G158" s="135">
        <f>HLOOKUP(G$157,Líneas!$C$12:$N$16,2,FALSE)</f>
        <v>4994000</v>
      </c>
      <c r="H158" s="135">
        <f>HLOOKUP(H$157,Líneas!$C$12:$N$16,2,FALSE)</f>
        <v>4931000</v>
      </c>
      <c r="I158" s="135">
        <f>HLOOKUP(I$157,Líneas!$C$12:$N$16,2,FALSE)</f>
        <v>5022000</v>
      </c>
      <c r="J158" s="135">
        <f>HLOOKUP(J$157,Líneas!$C$12:$N$16,2,FALSE)</f>
        <v>4922000</v>
      </c>
      <c r="K158" s="135">
        <f>HLOOKUP(K$157,Líneas!$C$12:$N$16,2,FALSE)</f>
        <v>4845000</v>
      </c>
      <c r="L158" s="135">
        <f>HLOOKUP(L$157,Líneas!$C$12:$N$16,2,FALSE)</f>
        <v>4974000</v>
      </c>
      <c r="M158" s="135">
        <f>HLOOKUP(M$157,Líneas!$C$12:$N$16,2,FALSE)</f>
        <v>4937000</v>
      </c>
      <c r="N158" s="135">
        <f>HLOOKUP(N$157,Líneas!$C$12:$N$16,2,FALSE)</f>
        <v>4981000</v>
      </c>
    </row>
    <row r="159" spans="1:14">
      <c r="A159" s="131"/>
      <c r="B159" s="134" t="s">
        <v>90</v>
      </c>
      <c r="C159" s="135">
        <f>HLOOKUP(C$157,Líneas!$C$12:$N$16,3,FALSE)</f>
        <v>55421</v>
      </c>
      <c r="D159" s="135">
        <f>HLOOKUP(D$157,Líneas!$C$12:$N$16,3,FALSE)</f>
        <v>58192</v>
      </c>
      <c r="E159" s="135">
        <f>HLOOKUP(E$157,Líneas!$C$12:$N$16,3,FALSE)</f>
        <v>59272</v>
      </c>
      <c r="F159" s="135">
        <f>HLOOKUP(F$157,Líneas!$C$12:$N$16,3,FALSE)</f>
        <v>57082</v>
      </c>
      <c r="G159" s="135">
        <f>HLOOKUP(G$157,Líneas!$C$12:$N$16,3,FALSE)</f>
        <v>57495</v>
      </c>
      <c r="H159" s="135">
        <f>HLOOKUP(H$157,Líneas!$C$12:$N$16,3,FALSE)</f>
        <v>56263</v>
      </c>
      <c r="I159" s="135">
        <f>HLOOKUP(I$157,Líneas!$C$12:$N$16,3,FALSE)</f>
        <v>56109</v>
      </c>
      <c r="J159" s="135">
        <f>HLOOKUP(J$157,Líneas!$C$12:$N$16,3,FALSE)</f>
        <v>59273</v>
      </c>
      <c r="K159" s="135">
        <f>HLOOKUP(K$157,Líneas!$C$12:$N$16,3,FALSE)</f>
        <v>57299</v>
      </c>
      <c r="L159" s="135">
        <f>HLOOKUP(L$157,Líneas!$C$12:$N$16,3,FALSE)</f>
        <v>58192</v>
      </c>
      <c r="M159" s="135">
        <f>HLOOKUP(M$157,Líneas!$C$12:$N$16,3,FALSE)</f>
        <v>59015</v>
      </c>
      <c r="N159" s="135">
        <f>HLOOKUP(N$157,Líneas!$C$12:$N$16,3,FALSE)</f>
        <v>56157</v>
      </c>
    </row>
    <row r="160" spans="1:14">
      <c r="A160" s="131"/>
      <c r="B160" s="134" t="s">
        <v>134</v>
      </c>
      <c r="C160" s="135">
        <f>HLOOKUP(C$157,Líneas!$C$12:$N$16,5,FALSE)</f>
        <v>92000</v>
      </c>
      <c r="D160" s="135">
        <f>HLOOKUP(D$157,Líneas!$C$12:$N$16,5,FALSE)</f>
        <v>90000</v>
      </c>
      <c r="E160" s="135">
        <f>HLOOKUP(E$157,Líneas!$C$12:$N$16,5,FALSE)</f>
        <v>94000</v>
      </c>
      <c r="F160" s="135">
        <f>HLOOKUP(F$157,Líneas!$C$12:$N$16,5,FALSE)</f>
        <v>90000</v>
      </c>
      <c r="G160" s="135">
        <f>HLOOKUP(G$157,Líneas!$C$12:$N$16,5,FALSE)</f>
        <v>91000</v>
      </c>
      <c r="H160" s="135">
        <f>HLOOKUP(H$157,Líneas!$C$12:$N$16,5,FALSE)</f>
        <v>94000</v>
      </c>
      <c r="I160" s="135">
        <f>HLOOKUP(I$157,Líneas!$C$12:$N$16,5,FALSE)</f>
        <v>88000</v>
      </c>
      <c r="J160" s="135">
        <f>HLOOKUP(J$157,Líneas!$C$12:$N$16,5,FALSE)</f>
        <v>91000</v>
      </c>
      <c r="K160" s="135">
        <f>HLOOKUP(K$157,Líneas!$C$12:$N$16,5,FALSE)</f>
        <v>90000</v>
      </c>
      <c r="L160" s="135">
        <f>HLOOKUP(L$157,Líneas!$C$12:$N$16,5,FALSE)</f>
        <v>92000</v>
      </c>
      <c r="M160" s="135">
        <f>HLOOKUP(M$157,Líneas!$C$12:$N$16,5,FALSE)</f>
        <v>90000</v>
      </c>
      <c r="N160" s="135">
        <f>HLOOKUP(N$157,Líneas!$C$12:$N$16,5,FALSE)</f>
        <v>90000</v>
      </c>
    </row>
    <row r="161" spans="1:14">
      <c r="B161" s="136" t="s">
        <v>23</v>
      </c>
      <c r="C161" s="137">
        <f t="shared" ref="C161:N161" si="27">SUM(C158:C160)</f>
        <v>4998421</v>
      </c>
      <c r="D161" s="137">
        <f t="shared" si="27"/>
        <v>5114192</v>
      </c>
      <c r="E161" s="137">
        <f t="shared" si="27"/>
        <v>5127272</v>
      </c>
      <c r="F161" s="137">
        <f t="shared" si="27"/>
        <v>5046082</v>
      </c>
      <c r="G161" s="137">
        <f t="shared" si="27"/>
        <v>5142495</v>
      </c>
      <c r="H161" s="137">
        <f t="shared" si="27"/>
        <v>5081263</v>
      </c>
      <c r="I161" s="137">
        <f t="shared" si="27"/>
        <v>5166109</v>
      </c>
      <c r="J161" s="137">
        <f t="shared" si="27"/>
        <v>5072273</v>
      </c>
      <c r="K161" s="137">
        <f t="shared" si="27"/>
        <v>4992299</v>
      </c>
      <c r="L161" s="137">
        <f t="shared" si="27"/>
        <v>5124192</v>
      </c>
      <c r="M161" s="137">
        <f t="shared" si="27"/>
        <v>5086015</v>
      </c>
      <c r="N161" s="137">
        <f t="shared" si="27"/>
        <v>5127157</v>
      </c>
    </row>
    <row r="162" spans="1:14">
      <c r="B162" s="136" t="s">
        <v>161</v>
      </c>
      <c r="C162" s="137">
        <f t="shared" ref="C162:N162" si="28">SUM(C158:C159)</f>
        <v>4906421</v>
      </c>
      <c r="D162" s="137">
        <f t="shared" si="28"/>
        <v>5024192</v>
      </c>
      <c r="E162" s="137">
        <f t="shared" si="28"/>
        <v>5033272</v>
      </c>
      <c r="F162" s="137">
        <f t="shared" si="28"/>
        <v>4956082</v>
      </c>
      <c r="G162" s="137">
        <f t="shared" si="28"/>
        <v>5051495</v>
      </c>
      <c r="H162" s="137">
        <f t="shared" si="28"/>
        <v>4987263</v>
      </c>
      <c r="I162" s="137">
        <f t="shared" si="28"/>
        <v>5078109</v>
      </c>
      <c r="J162" s="137">
        <f t="shared" si="28"/>
        <v>4981273</v>
      </c>
      <c r="K162" s="137">
        <f t="shared" si="28"/>
        <v>4902299</v>
      </c>
      <c r="L162" s="137">
        <f t="shared" si="28"/>
        <v>5032192</v>
      </c>
      <c r="M162" s="137">
        <f t="shared" si="28"/>
        <v>4996015</v>
      </c>
      <c r="N162" s="137">
        <f t="shared" si="28"/>
        <v>5037157</v>
      </c>
    </row>
    <row r="163" spans="1:14">
      <c r="B163" s="136" t="s">
        <v>162</v>
      </c>
      <c r="C163" s="161">
        <f t="shared" ref="C163:N163" si="29">+C161/C$178</f>
        <v>0.70237848491538091</v>
      </c>
      <c r="D163" s="161">
        <f t="shared" si="29"/>
        <v>0.70736514577343756</v>
      </c>
      <c r="E163" s="161">
        <f t="shared" si="29"/>
        <v>0.71342946147351338</v>
      </c>
      <c r="F163" s="161">
        <f t="shared" si="29"/>
        <v>0.70124638056575739</v>
      </c>
      <c r="G163" s="161">
        <f t="shared" si="29"/>
        <v>0.70967574997308958</v>
      </c>
      <c r="H163" s="161">
        <f t="shared" si="29"/>
        <v>0.70954893679294895</v>
      </c>
      <c r="I163" s="161">
        <f t="shared" si="29"/>
        <v>0.70737414455541525</v>
      </c>
      <c r="J163" s="161">
        <f t="shared" si="29"/>
        <v>0.7048730761731955</v>
      </c>
      <c r="K163" s="161">
        <f t="shared" si="29"/>
        <v>0.70251605860873279</v>
      </c>
      <c r="L163" s="161">
        <f t="shared" si="29"/>
        <v>0.70681786080016951</v>
      </c>
      <c r="M163" s="161">
        <f t="shared" si="29"/>
        <v>0.70500192260083117</v>
      </c>
      <c r="N163" s="161">
        <f t="shared" si="29"/>
        <v>0.70830195091356685</v>
      </c>
    </row>
    <row r="164" spans="1:14">
      <c r="B164" s="136" t="s">
        <v>163</v>
      </c>
      <c r="C164" s="161">
        <f t="shared" ref="C164:N164" si="30">+C162/C$179</f>
        <v>0.71072313277721288</v>
      </c>
      <c r="D164" s="161">
        <f t="shared" si="30"/>
        <v>0.71631747049224126</v>
      </c>
      <c r="E164" s="161">
        <f t="shared" si="30"/>
        <v>0.72277706009768239</v>
      </c>
      <c r="F164" s="161">
        <f t="shared" si="30"/>
        <v>0.7097479605824305</v>
      </c>
      <c r="G164" s="161">
        <f t="shared" si="30"/>
        <v>0.71812742207424807</v>
      </c>
      <c r="H164" s="161">
        <f t="shared" si="30"/>
        <v>0.71890983440431366</v>
      </c>
      <c r="I164" s="161">
        <f t="shared" si="30"/>
        <v>0.71641526363459374</v>
      </c>
      <c r="J164" s="161">
        <f t="shared" si="30"/>
        <v>0.7135462796280595</v>
      </c>
      <c r="K164" s="161">
        <f t="shared" si="30"/>
        <v>0.71158024029391609</v>
      </c>
      <c r="L164" s="161">
        <f t="shared" si="30"/>
        <v>0.71554563107237878</v>
      </c>
      <c r="M164" s="161">
        <f t="shared" si="30"/>
        <v>0.71410551406151868</v>
      </c>
      <c r="N164" s="161">
        <f t="shared" si="30"/>
        <v>0.7172719453882147</v>
      </c>
    </row>
    <row r="166" spans="1:14">
      <c r="B166" s="129" t="s">
        <v>188</v>
      </c>
    </row>
    <row r="167" spans="1:14">
      <c r="B167" s="129"/>
      <c r="C167" s="131">
        <v>1</v>
      </c>
      <c r="D167" s="131">
        <f>+C167+1</f>
        <v>2</v>
      </c>
      <c r="E167" s="131">
        <f t="shared" ref="E167:N167" si="31">+D167+1</f>
        <v>3</v>
      </c>
      <c r="F167" s="131">
        <f t="shared" si="31"/>
        <v>4</v>
      </c>
      <c r="G167" s="131">
        <f t="shared" si="31"/>
        <v>5</v>
      </c>
      <c r="H167" s="131">
        <f t="shared" si="31"/>
        <v>6</v>
      </c>
      <c r="I167" s="131">
        <f t="shared" si="31"/>
        <v>7</v>
      </c>
      <c r="J167" s="131">
        <f t="shared" si="31"/>
        <v>8</v>
      </c>
      <c r="K167" s="131">
        <f t="shared" si="31"/>
        <v>9</v>
      </c>
      <c r="L167" s="131">
        <f t="shared" si="31"/>
        <v>10</v>
      </c>
      <c r="M167" s="131">
        <f t="shared" si="31"/>
        <v>11</v>
      </c>
      <c r="N167" s="131">
        <f t="shared" si="31"/>
        <v>12</v>
      </c>
    </row>
    <row r="168" spans="1:14">
      <c r="A168" s="131"/>
      <c r="B168" s="132" t="s">
        <v>132</v>
      </c>
      <c r="C168" s="133">
        <v>39814</v>
      </c>
      <c r="D168" s="133">
        <v>39845</v>
      </c>
      <c r="E168" s="133">
        <v>39873</v>
      </c>
      <c r="F168" s="133">
        <v>39904</v>
      </c>
      <c r="G168" s="133">
        <v>39934</v>
      </c>
      <c r="H168" s="133">
        <v>39965</v>
      </c>
      <c r="I168" s="133">
        <v>39995</v>
      </c>
      <c r="J168" s="133">
        <v>40026</v>
      </c>
      <c r="K168" s="133">
        <v>40057</v>
      </c>
      <c r="L168" s="133">
        <v>40087</v>
      </c>
      <c r="M168" s="133">
        <v>40118</v>
      </c>
      <c r="N168" s="133">
        <v>40148</v>
      </c>
    </row>
    <row r="169" spans="1:14">
      <c r="A169" s="131"/>
      <c r="B169" s="134" t="s">
        <v>71</v>
      </c>
      <c r="C169" s="135">
        <f>HLOOKUP(C$168,Líneas!$C$20:$N$24,2,FALSE)</f>
        <v>1101000</v>
      </c>
      <c r="D169" s="135">
        <f>HLOOKUP(D$168,Líneas!$C$20:$N$24,2,FALSE)</f>
        <v>1105000</v>
      </c>
      <c r="E169" s="135">
        <f>HLOOKUP(E$168,Líneas!$C$20:$N$24,2,FALSE)</f>
        <v>1039000</v>
      </c>
      <c r="F169" s="135">
        <f>HLOOKUP(F$168,Líneas!$C$20:$N$24,2,FALSE)</f>
        <v>1151000</v>
      </c>
      <c r="G169" s="135">
        <f>HLOOKUP(G$168,Líneas!$C$20:$N$24,2,FALSE)</f>
        <v>1089000</v>
      </c>
      <c r="H169" s="135">
        <f>HLOOKUP(H$168,Líneas!$C$20:$N$24,2,FALSE)</f>
        <v>1085000</v>
      </c>
      <c r="I169" s="135">
        <f>HLOOKUP(I$168,Líneas!$C$20:$N$24,2,FALSE)</f>
        <v>1124000</v>
      </c>
      <c r="J169" s="135">
        <f>HLOOKUP(J$168,Líneas!$C$20:$N$24,2,FALSE)</f>
        <v>1118000</v>
      </c>
      <c r="K169" s="135">
        <f>HLOOKUP(K$168,Líneas!$C$20:$N$24,2,FALSE)</f>
        <v>1092000</v>
      </c>
      <c r="L169" s="135">
        <f>HLOOKUP(L$168,Líneas!$C$20:$N$24,2,FALSE)</f>
        <v>1100000</v>
      </c>
      <c r="M169" s="135">
        <f>HLOOKUP(M$168,Líneas!$C$20:$N$24,2,FALSE)</f>
        <v>1090000</v>
      </c>
      <c r="N169" s="135">
        <f>HLOOKUP(N$168,Líneas!$C$20:$N$24,2,FALSE)</f>
        <v>1099000</v>
      </c>
    </row>
    <row r="170" spans="1:14">
      <c r="A170" s="131"/>
      <c r="B170" s="134" t="s">
        <v>90</v>
      </c>
      <c r="C170" s="135">
        <f>HLOOKUP(C$168,Líneas!$C$20:$N$24,3,FALSE)</f>
        <v>15830</v>
      </c>
      <c r="D170" s="135">
        <f>HLOOKUP(D$168,Líneas!$C$20:$N$24,3,FALSE)</f>
        <v>15540</v>
      </c>
      <c r="E170" s="135">
        <f>HLOOKUP(E$168,Líneas!$C$20:$N$24,3,FALSE)</f>
        <v>15740</v>
      </c>
      <c r="F170" s="135">
        <f>HLOOKUP(F$168,Líneas!$C$20:$N$24,3,FALSE)</f>
        <v>16570</v>
      </c>
      <c r="G170" s="135">
        <f>HLOOKUP(G$168,Líneas!$C$20:$N$24,3,FALSE)</f>
        <v>16970</v>
      </c>
      <c r="H170" s="135">
        <f>HLOOKUP(H$168,Líneas!$C$20:$N$24,3,FALSE)</f>
        <v>16370</v>
      </c>
      <c r="I170" s="135">
        <f>HLOOKUP(I$168,Líneas!$C$20:$N$24,3,FALSE)</f>
        <v>16270</v>
      </c>
      <c r="J170" s="135">
        <f>HLOOKUP(J$168,Líneas!$C$20:$N$24,3,FALSE)</f>
        <v>15670</v>
      </c>
      <c r="K170" s="135">
        <f>HLOOKUP(K$168,Líneas!$C$20:$N$24,3,FALSE)</f>
        <v>16280</v>
      </c>
      <c r="L170" s="135">
        <f>HLOOKUP(L$168,Líneas!$C$20:$N$24,3,FALSE)</f>
        <v>15200</v>
      </c>
      <c r="M170" s="135">
        <f>HLOOKUP(M$168,Líneas!$C$20:$N$24,3,FALSE)</f>
        <v>15960</v>
      </c>
      <c r="N170" s="135">
        <f>HLOOKUP(N$168,Líneas!$C$20:$N$24,3,FALSE)</f>
        <v>16740</v>
      </c>
    </row>
    <row r="171" spans="1:14">
      <c r="A171" s="131"/>
      <c r="B171" s="134" t="s">
        <v>134</v>
      </c>
      <c r="C171" s="135">
        <f>HLOOKUP(C$168,Líneas!$C$20:$N$24,5,FALSE)</f>
        <v>53000</v>
      </c>
      <c r="D171" s="135">
        <f>HLOOKUP(D$168,Líneas!$C$20:$N$24,5,FALSE)</f>
        <v>53000</v>
      </c>
      <c r="E171" s="135">
        <f>HLOOKUP(E$168,Líneas!$C$20:$N$24,5,FALSE)</f>
        <v>53000</v>
      </c>
      <c r="F171" s="135">
        <f>HLOOKUP(F$168,Líneas!$C$20:$N$24,5,FALSE)</f>
        <v>53000</v>
      </c>
      <c r="G171" s="135">
        <f>HLOOKUP(G$168,Líneas!$C$20:$N$24,5,FALSE)</f>
        <v>51000</v>
      </c>
      <c r="H171" s="135">
        <f>HLOOKUP(H$168,Líneas!$C$20:$N$24,5,FALSE)</f>
        <v>55000</v>
      </c>
      <c r="I171" s="135">
        <f>HLOOKUP(I$168,Líneas!$C$20:$N$24,5,FALSE)</f>
        <v>55000</v>
      </c>
      <c r="J171" s="135">
        <f>HLOOKUP(J$168,Líneas!$C$20:$N$24,5,FALSE)</f>
        <v>54000</v>
      </c>
      <c r="K171" s="135">
        <f>HLOOKUP(K$168,Líneas!$C$20:$N$24,5,FALSE)</f>
        <v>55000</v>
      </c>
      <c r="L171" s="135">
        <f>HLOOKUP(L$168,Líneas!$C$20:$N$24,5,FALSE)</f>
        <v>55000</v>
      </c>
      <c r="M171" s="135">
        <f>HLOOKUP(M$168,Líneas!$C$20:$N$24,5,FALSE)</f>
        <v>53000</v>
      </c>
      <c r="N171" s="135">
        <f>HLOOKUP(N$168,Líneas!$C$20:$N$24,5,FALSE)</f>
        <v>50000</v>
      </c>
    </row>
    <row r="172" spans="1:14">
      <c r="B172" s="136" t="s">
        <v>23</v>
      </c>
      <c r="C172" s="137">
        <f t="shared" ref="C172:N172" si="32">SUM(C169:C171)</f>
        <v>1169830</v>
      </c>
      <c r="D172" s="137">
        <f t="shared" si="32"/>
        <v>1173540</v>
      </c>
      <c r="E172" s="137">
        <f t="shared" si="32"/>
        <v>1107740</v>
      </c>
      <c r="F172" s="137">
        <f t="shared" si="32"/>
        <v>1220570</v>
      </c>
      <c r="G172" s="137">
        <f t="shared" si="32"/>
        <v>1156970</v>
      </c>
      <c r="H172" s="137">
        <f t="shared" si="32"/>
        <v>1156370</v>
      </c>
      <c r="I172" s="137">
        <f t="shared" si="32"/>
        <v>1195270</v>
      </c>
      <c r="J172" s="137">
        <f t="shared" si="32"/>
        <v>1187670</v>
      </c>
      <c r="K172" s="137">
        <f t="shared" si="32"/>
        <v>1163280</v>
      </c>
      <c r="L172" s="137">
        <f t="shared" si="32"/>
        <v>1170200</v>
      </c>
      <c r="M172" s="137">
        <f t="shared" si="32"/>
        <v>1158960</v>
      </c>
      <c r="N172" s="137">
        <f t="shared" si="32"/>
        <v>1165740</v>
      </c>
    </row>
    <row r="173" spans="1:14">
      <c r="B173" s="136" t="s">
        <v>161</v>
      </c>
      <c r="C173" s="137">
        <f t="shared" ref="C173:N173" si="33">SUM(C169:C170)</f>
        <v>1116830</v>
      </c>
      <c r="D173" s="137">
        <f t="shared" si="33"/>
        <v>1120540</v>
      </c>
      <c r="E173" s="137">
        <f t="shared" si="33"/>
        <v>1054740</v>
      </c>
      <c r="F173" s="137">
        <f t="shared" si="33"/>
        <v>1167570</v>
      </c>
      <c r="G173" s="137">
        <f t="shared" si="33"/>
        <v>1105970</v>
      </c>
      <c r="H173" s="137">
        <f t="shared" si="33"/>
        <v>1101370</v>
      </c>
      <c r="I173" s="137">
        <f t="shared" si="33"/>
        <v>1140270</v>
      </c>
      <c r="J173" s="137">
        <f t="shared" si="33"/>
        <v>1133670</v>
      </c>
      <c r="K173" s="137">
        <f t="shared" si="33"/>
        <v>1108280</v>
      </c>
      <c r="L173" s="137">
        <f t="shared" si="33"/>
        <v>1115200</v>
      </c>
      <c r="M173" s="137">
        <f t="shared" si="33"/>
        <v>1105960</v>
      </c>
      <c r="N173" s="137">
        <f t="shared" si="33"/>
        <v>1115740</v>
      </c>
    </row>
    <row r="174" spans="1:14">
      <c r="B174" s="136" t="s">
        <v>162</v>
      </c>
      <c r="C174" s="161">
        <f>+C172/C$178</f>
        <v>0.16438459725752594</v>
      </c>
      <c r="D174" s="161">
        <f t="shared" ref="D174:N174" si="34">+D172/D$178</f>
        <v>0.16231719363898733</v>
      </c>
      <c r="E174" s="161">
        <f t="shared" si="34"/>
        <v>0.15413544505785332</v>
      </c>
      <c r="F174" s="161">
        <f t="shared" si="34"/>
        <v>0.16962076611659233</v>
      </c>
      <c r="G174" s="161">
        <f t="shared" si="34"/>
        <v>0.15966443379067272</v>
      </c>
      <c r="H174" s="161">
        <f t="shared" si="34"/>
        <v>0.16147581891338086</v>
      </c>
      <c r="I174" s="161">
        <f t="shared" si="34"/>
        <v>0.16366342517410129</v>
      </c>
      <c r="J174" s="161">
        <f t="shared" si="34"/>
        <v>0.16504565238870603</v>
      </c>
      <c r="K174" s="161">
        <f t="shared" si="34"/>
        <v>0.16369670179177304</v>
      </c>
      <c r="L174" s="161">
        <f t="shared" si="34"/>
        <v>0.16141437727320879</v>
      </c>
      <c r="M174" s="161">
        <f t="shared" si="34"/>
        <v>0.16065014126333865</v>
      </c>
      <c r="N174" s="161">
        <f t="shared" si="34"/>
        <v>0.16104361857028787</v>
      </c>
    </row>
    <row r="175" spans="1:14">
      <c r="B175" s="136" t="s">
        <v>163</v>
      </c>
      <c r="C175" s="161">
        <f>+C173/C$179</f>
        <v>0.16177921062615189</v>
      </c>
      <c r="D175" s="161">
        <f t="shared" ref="D175:N175" si="35">+D173/D$179</f>
        <v>0.1597594953348471</v>
      </c>
      <c r="E175" s="161">
        <f t="shared" si="35"/>
        <v>0.15146049654527502</v>
      </c>
      <c r="F175" s="161">
        <f t="shared" si="35"/>
        <v>0.16720474486443695</v>
      </c>
      <c r="G175" s="161">
        <f t="shared" si="35"/>
        <v>0.15722620431999954</v>
      </c>
      <c r="H175" s="161">
        <f t="shared" si="35"/>
        <v>0.15876157409743158</v>
      </c>
      <c r="I175" s="161">
        <f t="shared" si="35"/>
        <v>0.16086831390673539</v>
      </c>
      <c r="J175" s="161">
        <f t="shared" si="35"/>
        <v>0.16239343051985752</v>
      </c>
      <c r="K175" s="161">
        <f t="shared" si="35"/>
        <v>0.16086945098879962</v>
      </c>
      <c r="L175" s="161">
        <f t="shared" si="35"/>
        <v>0.15857433257155468</v>
      </c>
      <c r="M175" s="161">
        <f t="shared" si="35"/>
        <v>0.15808041695861144</v>
      </c>
      <c r="N175" s="161">
        <f t="shared" si="35"/>
        <v>0.1588771206352009</v>
      </c>
    </row>
    <row r="176" spans="1:14">
      <c r="C176" s="59"/>
      <c r="D176" s="59"/>
    </row>
    <row r="177" spans="1:14">
      <c r="A177" s="131"/>
      <c r="B177" s="132" t="s">
        <v>132</v>
      </c>
      <c r="C177" s="133">
        <v>39814</v>
      </c>
      <c r="D177" s="133">
        <v>39845</v>
      </c>
      <c r="E177" s="133">
        <v>39873</v>
      </c>
      <c r="F177" s="133">
        <v>39904</v>
      </c>
      <c r="G177" s="133">
        <v>39934</v>
      </c>
      <c r="H177" s="133">
        <v>39965</v>
      </c>
      <c r="I177" s="133">
        <v>39995</v>
      </c>
      <c r="J177" s="133">
        <v>40026</v>
      </c>
      <c r="K177" s="133">
        <v>40057</v>
      </c>
      <c r="L177" s="133">
        <v>40087</v>
      </c>
      <c r="M177" s="133">
        <v>40118</v>
      </c>
      <c r="N177" s="133">
        <v>40148</v>
      </c>
    </row>
    <row r="178" spans="1:14">
      <c r="B178" s="136" t="s">
        <v>23</v>
      </c>
      <c r="C178" s="137">
        <f t="shared" ref="C178:N178" si="36">+C150+C161+C172</f>
        <v>7116421</v>
      </c>
      <c r="D178" s="137">
        <f t="shared" si="36"/>
        <v>7229918</v>
      </c>
      <c r="E178" s="137">
        <f t="shared" si="36"/>
        <v>7186796</v>
      </c>
      <c r="F178" s="137">
        <f t="shared" si="36"/>
        <v>7195876</v>
      </c>
      <c r="G178" s="137">
        <f t="shared" si="36"/>
        <v>7246260</v>
      </c>
      <c r="H178" s="137">
        <f t="shared" si="36"/>
        <v>7161258</v>
      </c>
      <c r="I178" s="137">
        <f t="shared" si="36"/>
        <v>7303220</v>
      </c>
      <c r="J178" s="137">
        <f t="shared" si="36"/>
        <v>7196009</v>
      </c>
      <c r="K178" s="137">
        <f t="shared" si="36"/>
        <v>7106313</v>
      </c>
      <c r="L178" s="137">
        <f t="shared" si="36"/>
        <v>7249664</v>
      </c>
      <c r="M178" s="137">
        <f t="shared" si="36"/>
        <v>7214186</v>
      </c>
      <c r="N178" s="137">
        <f t="shared" si="36"/>
        <v>7238660</v>
      </c>
    </row>
    <row r="179" spans="1:14">
      <c r="B179" s="136" t="s">
        <v>161</v>
      </c>
      <c r="C179" s="137">
        <f t="shared" ref="C179:N179" si="37">+C151+C162+C173</f>
        <v>6903421</v>
      </c>
      <c r="D179" s="137">
        <f t="shared" si="37"/>
        <v>7013918</v>
      </c>
      <c r="E179" s="137">
        <f t="shared" si="37"/>
        <v>6963796</v>
      </c>
      <c r="F179" s="137">
        <f t="shared" si="37"/>
        <v>6982876</v>
      </c>
      <c r="G179" s="137">
        <f t="shared" si="37"/>
        <v>7034260</v>
      </c>
      <c r="H179" s="137">
        <f t="shared" si="37"/>
        <v>6937258</v>
      </c>
      <c r="I179" s="137">
        <f t="shared" si="37"/>
        <v>7088220</v>
      </c>
      <c r="J179" s="137">
        <f t="shared" si="37"/>
        <v>6981009</v>
      </c>
      <c r="K179" s="137">
        <f t="shared" si="37"/>
        <v>6889313</v>
      </c>
      <c r="L179" s="137">
        <f t="shared" si="37"/>
        <v>7032664</v>
      </c>
      <c r="M179" s="137">
        <f t="shared" si="37"/>
        <v>6996186</v>
      </c>
      <c r="N179" s="137">
        <f t="shared" si="37"/>
        <v>7022660</v>
      </c>
    </row>
    <row r="181" spans="1:14">
      <c r="B181" s="129" t="s">
        <v>138</v>
      </c>
    </row>
    <row r="182" spans="1:14">
      <c r="B182" s="141" t="s">
        <v>140</v>
      </c>
      <c r="C182" s="142">
        <f>+C18</f>
        <v>39995</v>
      </c>
    </row>
    <row r="183" spans="1:14">
      <c r="B183" s="143" t="s">
        <v>187</v>
      </c>
      <c r="C183" s="144">
        <f>HLOOKUP(C$182,$C$146:$N$150,5,FALSE)</f>
        <v>941841</v>
      </c>
    </row>
    <row r="184" spans="1:14">
      <c r="B184" s="143" t="s">
        <v>141</v>
      </c>
      <c r="C184" s="144">
        <f>HLOOKUP(C$182,$C$157:$N$161,5,FALSE)</f>
        <v>5166109</v>
      </c>
    </row>
    <row r="185" spans="1:14">
      <c r="B185" s="143" t="s">
        <v>189</v>
      </c>
      <c r="C185" s="144">
        <f>HLOOKUP(C$182,$C$168:$N$172,5,FALSE)</f>
        <v>1195270</v>
      </c>
    </row>
    <row r="186" spans="1:14">
      <c r="B186" s="145" t="s">
        <v>23</v>
      </c>
      <c r="C186" s="137">
        <f>SUM(C183:C185)</f>
        <v>7303220</v>
      </c>
    </row>
  </sheetData>
  <mergeCells count="1">
    <mergeCell ref="H30:H31"/>
  </mergeCells>
  <pageMargins left="0.7" right="0.7" top="0.75" bottom="0.75" header="0.3" footer="0.3"/>
  <pageSetup paperSize="9" orientation="portrait" r:id="rId1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prompt="Seleccionar año">
          <x14:formula1>
            <xm:f>#REF!</xm:f>
          </x14:formula1>
          <xm:sqref>#REF!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1"/>
  <dimension ref="A1:CA165"/>
  <sheetViews>
    <sheetView topLeftCell="A55" workbookViewId="0">
      <selection activeCell="C164" sqref="C164"/>
    </sheetView>
  </sheetViews>
  <sheetFormatPr baseColWidth="10" defaultRowHeight="15"/>
  <cols>
    <col min="2" max="2" width="18.7109375" bestFit="1" customWidth="1"/>
    <col min="3" max="3" width="10.5703125" bestFit="1" customWidth="1"/>
    <col min="4" max="4" width="13.5703125" bestFit="1" customWidth="1"/>
    <col min="5" max="5" width="8.85546875" bestFit="1" customWidth="1"/>
    <col min="6" max="6" width="11.85546875" bestFit="1" customWidth="1"/>
    <col min="19" max="19" width="13.5703125" bestFit="1" customWidth="1"/>
  </cols>
  <sheetData>
    <row r="1" spans="1:79" ht="18.75">
      <c r="A1" s="130" t="s">
        <v>172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</row>
    <row r="2" spans="1:79">
      <c r="B2" s="129" t="s">
        <v>299</v>
      </c>
    </row>
    <row r="3" spans="1:79">
      <c r="B3" s="129" t="s">
        <v>187</v>
      </c>
    </row>
    <row r="4" spans="1:79">
      <c r="B4" s="132" t="s">
        <v>132</v>
      </c>
      <c r="C4" s="133">
        <v>39814</v>
      </c>
      <c r="D4" s="133">
        <v>39845</v>
      </c>
      <c r="E4" s="133">
        <v>39873</v>
      </c>
      <c r="F4" s="133">
        <v>39904</v>
      </c>
      <c r="G4" s="133">
        <v>39934</v>
      </c>
      <c r="H4" s="133">
        <v>39965</v>
      </c>
      <c r="I4" s="133">
        <v>39995</v>
      </c>
      <c r="J4" s="133">
        <v>40026</v>
      </c>
      <c r="K4" s="133">
        <v>40057</v>
      </c>
      <c r="L4" s="133">
        <v>40087</v>
      </c>
      <c r="M4" s="133">
        <v>40118</v>
      </c>
      <c r="N4" s="133">
        <v>40148</v>
      </c>
    </row>
    <row r="5" spans="1:79">
      <c r="A5" s="131"/>
      <c r="B5" s="134" t="s">
        <v>71</v>
      </c>
      <c r="C5" s="135">
        <f t="shared" ref="C5:N7" si="0">SUMIF($A$59:$A$130,$B$3&amp;"-"&amp;UPPER($B5),E$59:E$130)</f>
        <v>866500</v>
      </c>
      <c r="D5" s="135">
        <f t="shared" si="0"/>
        <v>855800</v>
      </c>
      <c r="E5" s="135">
        <f t="shared" si="0"/>
        <v>862400</v>
      </c>
      <c r="F5" s="135">
        <f t="shared" si="0"/>
        <v>845900</v>
      </c>
      <c r="G5" s="135">
        <f t="shared" si="0"/>
        <v>863500</v>
      </c>
      <c r="H5" s="135">
        <f t="shared" si="0"/>
        <v>835300</v>
      </c>
      <c r="I5" s="135">
        <f t="shared" si="0"/>
        <v>856600</v>
      </c>
      <c r="J5" s="135">
        <f t="shared" si="0"/>
        <v>852700</v>
      </c>
      <c r="K5" s="135">
        <f t="shared" si="0"/>
        <v>865500</v>
      </c>
      <c r="L5" s="135">
        <f t="shared" si="0"/>
        <v>871500</v>
      </c>
      <c r="M5" s="135">
        <f t="shared" si="0"/>
        <v>880600</v>
      </c>
      <c r="N5" s="135">
        <f t="shared" si="0"/>
        <v>856300</v>
      </c>
    </row>
    <row r="6" spans="1:79">
      <c r="A6" s="131"/>
      <c r="B6" s="134" t="s">
        <v>90</v>
      </c>
      <c r="C6" s="135">
        <f t="shared" si="0"/>
        <v>13670</v>
      </c>
      <c r="D6" s="135">
        <f t="shared" si="0"/>
        <v>13386</v>
      </c>
      <c r="E6" s="135">
        <f t="shared" si="0"/>
        <v>13384</v>
      </c>
      <c r="F6" s="135">
        <f t="shared" si="0"/>
        <v>13324</v>
      </c>
      <c r="G6" s="135">
        <f t="shared" si="0"/>
        <v>13295</v>
      </c>
      <c r="H6" s="135">
        <f t="shared" si="0"/>
        <v>13325</v>
      </c>
      <c r="I6" s="135">
        <f t="shared" si="0"/>
        <v>13241</v>
      </c>
      <c r="J6" s="135">
        <f t="shared" si="0"/>
        <v>13366</v>
      </c>
      <c r="K6" s="135">
        <f t="shared" si="0"/>
        <v>13234</v>
      </c>
      <c r="L6" s="135">
        <f t="shared" si="0"/>
        <v>13772</v>
      </c>
      <c r="M6" s="135">
        <f t="shared" si="0"/>
        <v>13611</v>
      </c>
      <c r="N6" s="135">
        <f t="shared" si="0"/>
        <v>13463</v>
      </c>
    </row>
    <row r="7" spans="1:79">
      <c r="A7" s="131"/>
      <c r="B7" s="134" t="s">
        <v>133</v>
      </c>
      <c r="C7" s="135">
        <f t="shared" si="0"/>
        <v>84279</v>
      </c>
      <c r="D7" s="135">
        <f t="shared" si="0"/>
        <v>84064</v>
      </c>
      <c r="E7" s="135">
        <f t="shared" si="0"/>
        <v>81254</v>
      </c>
      <c r="F7" s="135">
        <f t="shared" si="0"/>
        <v>81782</v>
      </c>
      <c r="G7" s="135">
        <f t="shared" si="0"/>
        <v>84872</v>
      </c>
      <c r="H7" s="135">
        <f t="shared" si="0"/>
        <v>81284</v>
      </c>
      <c r="I7" s="135">
        <f t="shared" si="0"/>
        <v>81887</v>
      </c>
      <c r="J7" s="135">
        <f t="shared" si="0"/>
        <v>85688</v>
      </c>
      <c r="K7" s="135">
        <f t="shared" si="0"/>
        <v>79816</v>
      </c>
      <c r="L7" s="135">
        <f t="shared" si="0"/>
        <v>83665</v>
      </c>
      <c r="M7" s="135">
        <f t="shared" si="0"/>
        <v>81308</v>
      </c>
      <c r="N7" s="135">
        <f t="shared" si="0"/>
        <v>82670</v>
      </c>
    </row>
    <row r="8" spans="1:79">
      <c r="A8" s="131"/>
      <c r="B8" s="134" t="s">
        <v>134</v>
      </c>
      <c r="C8" s="135">
        <f t="shared" ref="C8:N8" si="1">SUMIF($A$137:$A$160,$B$3&amp;"-"&amp;UPPER($B8),E$137:E$160)</f>
        <v>68000</v>
      </c>
      <c r="D8" s="135">
        <f t="shared" si="1"/>
        <v>73000</v>
      </c>
      <c r="E8" s="135">
        <f t="shared" si="1"/>
        <v>76000</v>
      </c>
      <c r="F8" s="135">
        <f t="shared" si="1"/>
        <v>70000</v>
      </c>
      <c r="G8" s="135">
        <f t="shared" si="1"/>
        <v>70000</v>
      </c>
      <c r="H8" s="135">
        <f t="shared" si="1"/>
        <v>75000</v>
      </c>
      <c r="I8" s="135">
        <f t="shared" si="1"/>
        <v>72000</v>
      </c>
      <c r="J8" s="135">
        <f t="shared" si="1"/>
        <v>70000</v>
      </c>
      <c r="K8" s="135">
        <f t="shared" si="1"/>
        <v>72000</v>
      </c>
      <c r="L8" s="135">
        <f t="shared" si="1"/>
        <v>70000</v>
      </c>
      <c r="M8" s="135">
        <f t="shared" si="1"/>
        <v>75000</v>
      </c>
      <c r="N8" s="135">
        <f t="shared" si="1"/>
        <v>76000</v>
      </c>
    </row>
    <row r="9" spans="1:79">
      <c r="B9" s="136" t="s">
        <v>23</v>
      </c>
      <c r="C9" s="137">
        <f t="shared" ref="C9:N9" si="2">SUM(C5:C8)</f>
        <v>1032449</v>
      </c>
      <c r="D9" s="137">
        <f t="shared" si="2"/>
        <v>1026250</v>
      </c>
      <c r="E9" s="137">
        <f t="shared" si="2"/>
        <v>1033038</v>
      </c>
      <c r="F9" s="137">
        <f t="shared" si="2"/>
        <v>1011006</v>
      </c>
      <c r="G9" s="137">
        <f t="shared" si="2"/>
        <v>1031667</v>
      </c>
      <c r="H9" s="137">
        <f t="shared" si="2"/>
        <v>1004909</v>
      </c>
      <c r="I9" s="137">
        <f t="shared" si="2"/>
        <v>1023728</v>
      </c>
      <c r="J9" s="137">
        <f t="shared" si="2"/>
        <v>1021754</v>
      </c>
      <c r="K9" s="137">
        <f t="shared" si="2"/>
        <v>1030550</v>
      </c>
      <c r="L9" s="137">
        <f t="shared" si="2"/>
        <v>1038937</v>
      </c>
      <c r="M9" s="137">
        <f t="shared" si="2"/>
        <v>1050519</v>
      </c>
      <c r="N9" s="137">
        <f t="shared" si="2"/>
        <v>1028433</v>
      </c>
    </row>
    <row r="11" spans="1:79">
      <c r="B11" s="129" t="s">
        <v>141</v>
      </c>
    </row>
    <row r="12" spans="1:79">
      <c r="B12" s="132" t="s">
        <v>132</v>
      </c>
      <c r="C12" s="133">
        <v>39814</v>
      </c>
      <c r="D12" s="133">
        <v>39845</v>
      </c>
      <c r="E12" s="133">
        <v>39873</v>
      </c>
      <c r="F12" s="133">
        <v>39904</v>
      </c>
      <c r="G12" s="133">
        <v>39934</v>
      </c>
      <c r="H12" s="133">
        <v>39965</v>
      </c>
      <c r="I12" s="133">
        <v>39995</v>
      </c>
      <c r="J12" s="133">
        <v>40026</v>
      </c>
      <c r="K12" s="133">
        <v>40057</v>
      </c>
      <c r="L12" s="133">
        <v>40087</v>
      </c>
      <c r="M12" s="133">
        <v>40118</v>
      </c>
      <c r="N12" s="133">
        <v>40148</v>
      </c>
    </row>
    <row r="13" spans="1:79">
      <c r="A13" s="131"/>
      <c r="B13" s="134" t="s">
        <v>71</v>
      </c>
      <c r="C13" s="135">
        <f t="shared" ref="C13:N15" si="3">SUMIF($A$59:$A$130,$B$11&amp;"-"&amp;UPPER($B13),E$59:E$130)</f>
        <v>4851000</v>
      </c>
      <c r="D13" s="135">
        <f t="shared" si="3"/>
        <v>4966000</v>
      </c>
      <c r="E13" s="135">
        <f t="shared" si="3"/>
        <v>4974000</v>
      </c>
      <c r="F13" s="135">
        <f t="shared" si="3"/>
        <v>4899000</v>
      </c>
      <c r="G13" s="135">
        <f t="shared" si="3"/>
        <v>4994000</v>
      </c>
      <c r="H13" s="135">
        <f t="shared" si="3"/>
        <v>4931000</v>
      </c>
      <c r="I13" s="135">
        <f t="shared" si="3"/>
        <v>5022000</v>
      </c>
      <c r="J13" s="135">
        <f t="shared" si="3"/>
        <v>4922000</v>
      </c>
      <c r="K13" s="135">
        <f t="shared" si="3"/>
        <v>4845000</v>
      </c>
      <c r="L13" s="135">
        <f t="shared" si="3"/>
        <v>4974000</v>
      </c>
      <c r="M13" s="135">
        <f t="shared" si="3"/>
        <v>4937000</v>
      </c>
      <c r="N13" s="135">
        <f t="shared" si="3"/>
        <v>4981000</v>
      </c>
    </row>
    <row r="14" spans="1:79">
      <c r="A14" s="131"/>
      <c r="B14" s="134" t="s">
        <v>90</v>
      </c>
      <c r="C14" s="135">
        <f t="shared" si="3"/>
        <v>55421</v>
      </c>
      <c r="D14" s="135">
        <f t="shared" si="3"/>
        <v>58192</v>
      </c>
      <c r="E14" s="135">
        <f t="shared" si="3"/>
        <v>59272</v>
      </c>
      <c r="F14" s="135">
        <f t="shared" si="3"/>
        <v>57082</v>
      </c>
      <c r="G14" s="135">
        <f t="shared" si="3"/>
        <v>57495</v>
      </c>
      <c r="H14" s="135">
        <f t="shared" si="3"/>
        <v>56263</v>
      </c>
      <c r="I14" s="135">
        <f t="shared" si="3"/>
        <v>56109</v>
      </c>
      <c r="J14" s="135">
        <f t="shared" si="3"/>
        <v>59273</v>
      </c>
      <c r="K14" s="135">
        <f t="shared" si="3"/>
        <v>57299</v>
      </c>
      <c r="L14" s="135">
        <f t="shared" si="3"/>
        <v>58192</v>
      </c>
      <c r="M14" s="135">
        <f t="shared" si="3"/>
        <v>59015</v>
      </c>
      <c r="N14" s="135">
        <f t="shared" si="3"/>
        <v>56157</v>
      </c>
    </row>
    <row r="15" spans="1:79">
      <c r="A15" s="131"/>
      <c r="B15" s="134" t="s">
        <v>133</v>
      </c>
      <c r="C15" s="135">
        <f t="shared" si="3"/>
        <v>583340</v>
      </c>
      <c r="D15" s="135">
        <f t="shared" si="3"/>
        <v>582550</v>
      </c>
      <c r="E15" s="135">
        <f t="shared" si="3"/>
        <v>572410</v>
      </c>
      <c r="F15" s="135">
        <f t="shared" si="3"/>
        <v>603770</v>
      </c>
      <c r="G15" s="135">
        <f t="shared" si="3"/>
        <v>602490</v>
      </c>
      <c r="H15" s="135">
        <f t="shared" si="3"/>
        <v>601020</v>
      </c>
      <c r="I15" s="135">
        <f t="shared" si="3"/>
        <v>592590</v>
      </c>
      <c r="J15" s="135">
        <f t="shared" si="3"/>
        <v>582730</v>
      </c>
      <c r="K15" s="135">
        <f t="shared" si="3"/>
        <v>592710</v>
      </c>
      <c r="L15" s="135">
        <f t="shared" si="3"/>
        <v>612400</v>
      </c>
      <c r="M15" s="135">
        <f t="shared" si="3"/>
        <v>602390</v>
      </c>
      <c r="N15" s="135">
        <f t="shared" si="3"/>
        <v>581070</v>
      </c>
    </row>
    <row r="16" spans="1:79">
      <c r="A16" s="131"/>
      <c r="B16" s="134" t="s">
        <v>134</v>
      </c>
      <c r="C16" s="135">
        <f t="shared" ref="C16:N16" si="4">SUMIF($A$137:$A$160,$B$11&amp;"-"&amp;UPPER($B16),E$137:E$160)</f>
        <v>92000</v>
      </c>
      <c r="D16" s="135">
        <f t="shared" si="4"/>
        <v>90000</v>
      </c>
      <c r="E16" s="135">
        <f t="shared" si="4"/>
        <v>94000</v>
      </c>
      <c r="F16" s="135">
        <f t="shared" si="4"/>
        <v>90000</v>
      </c>
      <c r="G16" s="135">
        <f t="shared" si="4"/>
        <v>91000</v>
      </c>
      <c r="H16" s="135">
        <f t="shared" si="4"/>
        <v>94000</v>
      </c>
      <c r="I16" s="135">
        <f t="shared" si="4"/>
        <v>88000</v>
      </c>
      <c r="J16" s="135">
        <f t="shared" si="4"/>
        <v>91000</v>
      </c>
      <c r="K16" s="135">
        <f t="shared" si="4"/>
        <v>90000</v>
      </c>
      <c r="L16" s="135">
        <f t="shared" si="4"/>
        <v>92000</v>
      </c>
      <c r="M16" s="135">
        <f t="shared" si="4"/>
        <v>90000</v>
      </c>
      <c r="N16" s="135">
        <f t="shared" si="4"/>
        <v>90000</v>
      </c>
    </row>
    <row r="17" spans="1:79">
      <c r="B17" s="136" t="s">
        <v>23</v>
      </c>
      <c r="C17" s="137">
        <f t="shared" ref="C17:N17" si="5">SUM(C13:C16)</f>
        <v>5581761</v>
      </c>
      <c r="D17" s="137">
        <f t="shared" si="5"/>
        <v>5696742</v>
      </c>
      <c r="E17" s="137">
        <f t="shared" si="5"/>
        <v>5699682</v>
      </c>
      <c r="F17" s="137">
        <f t="shared" si="5"/>
        <v>5649852</v>
      </c>
      <c r="G17" s="137">
        <f t="shared" si="5"/>
        <v>5744985</v>
      </c>
      <c r="H17" s="137">
        <f t="shared" si="5"/>
        <v>5682283</v>
      </c>
      <c r="I17" s="137">
        <f t="shared" si="5"/>
        <v>5758699</v>
      </c>
      <c r="J17" s="137">
        <f t="shared" si="5"/>
        <v>5655003</v>
      </c>
      <c r="K17" s="137">
        <f t="shared" si="5"/>
        <v>5585009</v>
      </c>
      <c r="L17" s="137">
        <f t="shared" si="5"/>
        <v>5736592</v>
      </c>
      <c r="M17" s="137">
        <f t="shared" si="5"/>
        <v>5688405</v>
      </c>
      <c r="N17" s="137">
        <f t="shared" si="5"/>
        <v>5708227</v>
      </c>
    </row>
    <row r="19" spans="1:79">
      <c r="B19" s="129" t="s">
        <v>189</v>
      </c>
    </row>
    <row r="20" spans="1:79">
      <c r="B20" s="132" t="s">
        <v>132</v>
      </c>
      <c r="C20" s="133">
        <v>39814</v>
      </c>
      <c r="D20" s="133">
        <v>39845</v>
      </c>
      <c r="E20" s="133">
        <v>39873</v>
      </c>
      <c r="F20" s="133">
        <v>39904</v>
      </c>
      <c r="G20" s="133">
        <v>39934</v>
      </c>
      <c r="H20" s="133">
        <v>39965</v>
      </c>
      <c r="I20" s="133">
        <v>39995</v>
      </c>
      <c r="J20" s="133">
        <v>40026</v>
      </c>
      <c r="K20" s="133">
        <v>40057</v>
      </c>
      <c r="L20" s="133">
        <v>40087</v>
      </c>
      <c r="M20" s="133">
        <v>40118</v>
      </c>
      <c r="N20" s="133">
        <v>40148</v>
      </c>
    </row>
    <row r="21" spans="1:79">
      <c r="A21" s="131"/>
      <c r="B21" s="134" t="s">
        <v>71</v>
      </c>
      <c r="C21" s="135">
        <f t="shared" ref="C21:N23" si="6">SUMIF($A$59:$A$130,$B$19&amp;"-"&amp;UPPER($B21),E$59:E$130)</f>
        <v>1101000</v>
      </c>
      <c r="D21" s="135">
        <f t="shared" si="6"/>
        <v>1105000</v>
      </c>
      <c r="E21" s="135">
        <f t="shared" si="6"/>
        <v>1039000</v>
      </c>
      <c r="F21" s="135">
        <f t="shared" si="6"/>
        <v>1151000</v>
      </c>
      <c r="G21" s="135">
        <f t="shared" si="6"/>
        <v>1089000</v>
      </c>
      <c r="H21" s="135">
        <f t="shared" si="6"/>
        <v>1085000</v>
      </c>
      <c r="I21" s="135">
        <f t="shared" si="6"/>
        <v>1124000</v>
      </c>
      <c r="J21" s="135">
        <f t="shared" si="6"/>
        <v>1118000</v>
      </c>
      <c r="K21" s="135">
        <f t="shared" si="6"/>
        <v>1092000</v>
      </c>
      <c r="L21" s="135">
        <f t="shared" si="6"/>
        <v>1100000</v>
      </c>
      <c r="M21" s="135">
        <f t="shared" si="6"/>
        <v>1090000</v>
      </c>
      <c r="N21" s="135">
        <f t="shared" si="6"/>
        <v>1099000</v>
      </c>
    </row>
    <row r="22" spans="1:79">
      <c r="A22" s="131"/>
      <c r="B22" s="134" t="s">
        <v>90</v>
      </c>
      <c r="C22" s="135">
        <f t="shared" si="6"/>
        <v>15830</v>
      </c>
      <c r="D22" s="135">
        <f t="shared" si="6"/>
        <v>15540</v>
      </c>
      <c r="E22" s="135">
        <f t="shared" si="6"/>
        <v>15740</v>
      </c>
      <c r="F22" s="135">
        <f t="shared" si="6"/>
        <v>16570</v>
      </c>
      <c r="G22" s="135">
        <f t="shared" si="6"/>
        <v>16970</v>
      </c>
      <c r="H22" s="135">
        <f t="shared" si="6"/>
        <v>16370</v>
      </c>
      <c r="I22" s="135">
        <f t="shared" si="6"/>
        <v>16270</v>
      </c>
      <c r="J22" s="135">
        <f t="shared" si="6"/>
        <v>15670</v>
      </c>
      <c r="K22" s="135">
        <f t="shared" si="6"/>
        <v>16280</v>
      </c>
      <c r="L22" s="135">
        <f t="shared" si="6"/>
        <v>15200</v>
      </c>
      <c r="M22" s="135">
        <f t="shared" si="6"/>
        <v>15960</v>
      </c>
      <c r="N22" s="135">
        <f t="shared" si="6"/>
        <v>16740</v>
      </c>
    </row>
    <row r="23" spans="1:79">
      <c r="A23" s="131"/>
      <c r="B23" s="134" t="s">
        <v>133</v>
      </c>
      <c r="C23" s="135">
        <f t="shared" si="6"/>
        <v>101800</v>
      </c>
      <c r="D23" s="135">
        <f t="shared" si="6"/>
        <v>99000</v>
      </c>
      <c r="E23" s="135">
        <f t="shared" si="6"/>
        <v>99200</v>
      </c>
      <c r="F23" s="135">
        <f t="shared" si="6"/>
        <v>99900</v>
      </c>
      <c r="G23" s="135">
        <f t="shared" si="6"/>
        <v>102500</v>
      </c>
      <c r="H23" s="135">
        <f t="shared" si="6"/>
        <v>98800</v>
      </c>
      <c r="I23" s="135">
        <f t="shared" si="6"/>
        <v>100100</v>
      </c>
      <c r="J23" s="135">
        <f t="shared" si="6"/>
        <v>99700</v>
      </c>
      <c r="K23" s="135">
        <f t="shared" si="6"/>
        <v>98800</v>
      </c>
      <c r="L23" s="135">
        <f t="shared" si="6"/>
        <v>100100</v>
      </c>
      <c r="M23" s="135">
        <f t="shared" si="6"/>
        <v>101400</v>
      </c>
      <c r="N23" s="135">
        <f t="shared" si="6"/>
        <v>98500</v>
      </c>
    </row>
    <row r="24" spans="1:79">
      <c r="A24" s="131"/>
      <c r="B24" s="134" t="s">
        <v>134</v>
      </c>
      <c r="C24" s="135">
        <f t="shared" ref="C24:N24" si="7">SUMIF($A$137:$A$160,$B$19&amp;"-"&amp;UPPER($B24),E$137:E$160)</f>
        <v>53000</v>
      </c>
      <c r="D24" s="135">
        <f t="shared" si="7"/>
        <v>53000</v>
      </c>
      <c r="E24" s="135">
        <f t="shared" si="7"/>
        <v>53000</v>
      </c>
      <c r="F24" s="135">
        <f t="shared" si="7"/>
        <v>53000</v>
      </c>
      <c r="G24" s="135">
        <f t="shared" si="7"/>
        <v>51000</v>
      </c>
      <c r="H24" s="135">
        <f t="shared" si="7"/>
        <v>55000</v>
      </c>
      <c r="I24" s="135">
        <f t="shared" si="7"/>
        <v>55000</v>
      </c>
      <c r="J24" s="135">
        <f t="shared" si="7"/>
        <v>54000</v>
      </c>
      <c r="K24" s="135">
        <f t="shared" si="7"/>
        <v>55000</v>
      </c>
      <c r="L24" s="135">
        <f t="shared" si="7"/>
        <v>55000</v>
      </c>
      <c r="M24" s="135">
        <f t="shared" si="7"/>
        <v>53000</v>
      </c>
      <c r="N24" s="135">
        <f t="shared" si="7"/>
        <v>50000</v>
      </c>
    </row>
    <row r="25" spans="1:79">
      <c r="B25" s="136" t="s">
        <v>23</v>
      </c>
      <c r="C25" s="137">
        <f t="shared" ref="C25:N25" si="8">SUM(C21:C24)</f>
        <v>1271630</v>
      </c>
      <c r="D25" s="137">
        <f t="shared" si="8"/>
        <v>1272540</v>
      </c>
      <c r="E25" s="137">
        <f t="shared" si="8"/>
        <v>1206940</v>
      </c>
      <c r="F25" s="137">
        <f t="shared" si="8"/>
        <v>1320470</v>
      </c>
      <c r="G25" s="137">
        <f t="shared" si="8"/>
        <v>1259470</v>
      </c>
      <c r="H25" s="137">
        <f t="shared" si="8"/>
        <v>1255170</v>
      </c>
      <c r="I25" s="137">
        <f t="shared" si="8"/>
        <v>1295370</v>
      </c>
      <c r="J25" s="137">
        <f t="shared" si="8"/>
        <v>1287370</v>
      </c>
      <c r="K25" s="137">
        <f t="shared" si="8"/>
        <v>1262080</v>
      </c>
      <c r="L25" s="137">
        <f t="shared" si="8"/>
        <v>1270300</v>
      </c>
      <c r="M25" s="137">
        <f t="shared" si="8"/>
        <v>1260360</v>
      </c>
      <c r="N25" s="137">
        <f t="shared" si="8"/>
        <v>1264240</v>
      </c>
    </row>
    <row r="27" spans="1:79" ht="18.75">
      <c r="A27" s="130" t="s">
        <v>173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</row>
    <row r="29" spans="1:79">
      <c r="B29" s="165" t="s">
        <v>174</v>
      </c>
      <c r="C29" s="133" t="s">
        <v>140</v>
      </c>
      <c r="D29" s="291"/>
    </row>
    <row r="30" spans="1:79">
      <c r="B30" s="166" t="s">
        <v>72</v>
      </c>
      <c r="C30" s="167" t="s">
        <v>187</v>
      </c>
      <c r="D30" s="292"/>
    </row>
    <row r="31" spans="1:79">
      <c r="B31" s="166" t="s">
        <v>73</v>
      </c>
      <c r="C31" s="167" t="s">
        <v>187</v>
      </c>
      <c r="D31" s="292"/>
    </row>
    <row r="32" spans="1:79">
      <c r="B32" s="166" t="s">
        <v>175</v>
      </c>
      <c r="C32" s="167" t="s">
        <v>189</v>
      </c>
      <c r="D32" s="292"/>
    </row>
    <row r="33" spans="2:4">
      <c r="B33" s="166" t="s">
        <v>74</v>
      </c>
      <c r="C33" s="167" t="s">
        <v>189</v>
      </c>
      <c r="D33" s="292"/>
    </row>
    <row r="34" spans="2:4">
      <c r="B34" s="166" t="s">
        <v>75</v>
      </c>
      <c r="C34" s="167" t="s">
        <v>141</v>
      </c>
      <c r="D34" s="292"/>
    </row>
    <row r="35" spans="2:4">
      <c r="B35" s="166" t="s">
        <v>76</v>
      </c>
      <c r="C35" s="167" t="s">
        <v>187</v>
      </c>
      <c r="D35" s="292"/>
    </row>
    <row r="36" spans="2:4">
      <c r="B36" s="166" t="s">
        <v>176</v>
      </c>
      <c r="C36" s="167" t="s">
        <v>189</v>
      </c>
      <c r="D36" s="292"/>
    </row>
    <row r="37" spans="2:4">
      <c r="B37" s="166" t="s">
        <v>77</v>
      </c>
      <c r="C37" s="167" t="s">
        <v>141</v>
      </c>
      <c r="D37" s="292"/>
    </row>
    <row r="38" spans="2:4">
      <c r="B38" s="166" t="s">
        <v>78</v>
      </c>
      <c r="C38" s="167" t="s">
        <v>141</v>
      </c>
      <c r="D38" s="292"/>
    </row>
    <row r="39" spans="2:4">
      <c r="B39" s="166" t="s">
        <v>79</v>
      </c>
      <c r="C39" s="167" t="s">
        <v>141</v>
      </c>
      <c r="D39" s="292"/>
    </row>
    <row r="40" spans="2:4">
      <c r="B40" s="166" t="s">
        <v>80</v>
      </c>
      <c r="C40" s="167" t="s">
        <v>141</v>
      </c>
      <c r="D40" s="292"/>
    </row>
    <row r="41" spans="2:4">
      <c r="B41" s="166" t="s">
        <v>177</v>
      </c>
      <c r="C41" s="167" t="s">
        <v>187</v>
      </c>
      <c r="D41" s="292"/>
    </row>
    <row r="42" spans="2:4">
      <c r="B42" s="166" t="s">
        <v>81</v>
      </c>
      <c r="C42" s="167" t="s">
        <v>187</v>
      </c>
      <c r="D42" s="292"/>
    </row>
    <row r="43" spans="2:4">
      <c r="B43" s="166" t="s">
        <v>24</v>
      </c>
      <c r="C43" s="167" t="s">
        <v>141</v>
      </c>
      <c r="D43" s="292"/>
    </row>
    <row r="44" spans="2:4">
      <c r="B44" s="166" t="s">
        <v>82</v>
      </c>
      <c r="C44" s="167" t="s">
        <v>141</v>
      </c>
      <c r="D44" s="292"/>
    </row>
    <row r="45" spans="2:4">
      <c r="B45" s="166" t="s">
        <v>83</v>
      </c>
      <c r="C45" s="167" t="s">
        <v>141</v>
      </c>
      <c r="D45" s="292"/>
    </row>
    <row r="46" spans="2:4">
      <c r="B46" s="166" t="s">
        <v>84</v>
      </c>
      <c r="C46" s="167" t="s">
        <v>189</v>
      </c>
      <c r="D46" s="292"/>
    </row>
    <row r="47" spans="2:4">
      <c r="B47" s="166" t="s">
        <v>85</v>
      </c>
      <c r="C47" s="167" t="s">
        <v>141</v>
      </c>
      <c r="D47" s="292"/>
    </row>
    <row r="48" spans="2:4">
      <c r="B48" s="166" t="s">
        <v>86</v>
      </c>
      <c r="C48" s="167" t="s">
        <v>187</v>
      </c>
      <c r="D48" s="292"/>
    </row>
    <row r="49" spans="1:79">
      <c r="B49" s="166" t="s">
        <v>178</v>
      </c>
      <c r="C49" s="167" t="s">
        <v>189</v>
      </c>
      <c r="D49" s="292"/>
    </row>
    <row r="50" spans="1:79">
      <c r="B50" s="166" t="s">
        <v>87</v>
      </c>
      <c r="C50" s="167" t="s">
        <v>187</v>
      </c>
      <c r="D50" s="292"/>
    </row>
    <row r="51" spans="1:79">
      <c r="B51" s="166" t="s">
        <v>88</v>
      </c>
      <c r="C51" s="167" t="s">
        <v>189</v>
      </c>
      <c r="D51" s="292"/>
    </row>
    <row r="52" spans="1:79">
      <c r="B52" s="166" t="s">
        <v>179</v>
      </c>
      <c r="C52" s="167" t="s">
        <v>187</v>
      </c>
      <c r="D52" s="292"/>
    </row>
    <row r="53" spans="1:79">
      <c r="B53" s="166" t="s">
        <v>89</v>
      </c>
      <c r="C53" s="167" t="s">
        <v>141</v>
      </c>
      <c r="D53" s="292"/>
    </row>
    <row r="56" spans="1:79" ht="18.75">
      <c r="A56" s="130" t="s">
        <v>180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</row>
    <row r="58" spans="1:79">
      <c r="A58" s="131"/>
      <c r="B58" s="168" t="s">
        <v>140</v>
      </c>
      <c r="C58" s="169" t="s">
        <v>181</v>
      </c>
      <c r="D58" s="169" t="s">
        <v>174</v>
      </c>
      <c r="E58" s="133">
        <v>39814</v>
      </c>
      <c r="F58" s="133">
        <v>39845</v>
      </c>
      <c r="G58" s="133">
        <v>39873</v>
      </c>
      <c r="H58" s="133">
        <v>39904</v>
      </c>
      <c r="I58" s="133">
        <v>39934</v>
      </c>
      <c r="J58" s="133">
        <v>39965</v>
      </c>
      <c r="K58" s="133">
        <v>39995</v>
      </c>
      <c r="L58" s="133">
        <v>40026</v>
      </c>
      <c r="M58" s="133">
        <v>40057</v>
      </c>
      <c r="N58" s="133">
        <v>40087</v>
      </c>
      <c r="O58" s="133">
        <v>40118</v>
      </c>
      <c r="P58" s="133">
        <v>40148</v>
      </c>
    </row>
    <row r="59" spans="1:79">
      <c r="A59" s="131" t="str">
        <f>+B59&amp;"-"&amp;C59</f>
        <v>NORTE-CONTROL</v>
      </c>
      <c r="B59" s="170" t="str">
        <f>VLOOKUP(D59,$B$30:$C$53,2,FALSE)</f>
        <v>NORTE</v>
      </c>
      <c r="C59" s="171" t="s">
        <v>182</v>
      </c>
      <c r="D59" s="170" t="s">
        <v>72</v>
      </c>
      <c r="E59" s="314">
        <v>80</v>
      </c>
      <c r="F59" s="314">
        <v>76</v>
      </c>
      <c r="G59" s="314">
        <v>74</v>
      </c>
      <c r="H59" s="314">
        <v>74</v>
      </c>
      <c r="I59" s="314">
        <v>75</v>
      </c>
      <c r="J59" s="314">
        <v>75</v>
      </c>
      <c r="K59" s="314">
        <v>81</v>
      </c>
      <c r="L59" s="314">
        <v>76</v>
      </c>
      <c r="M59" s="314">
        <v>74</v>
      </c>
      <c r="N59" s="314">
        <v>82</v>
      </c>
      <c r="O59" s="314">
        <v>81</v>
      </c>
      <c r="P59" s="314">
        <v>83</v>
      </c>
      <c r="R59" s="59"/>
      <c r="S59" s="243"/>
      <c r="T59" s="59"/>
      <c r="U59" s="59"/>
    </row>
    <row r="60" spans="1:79">
      <c r="A60" s="131" t="str">
        <f t="shared" ref="A60:A123" si="9">+B60&amp;"-"&amp;C60</f>
        <v>NORTE-CONTROL</v>
      </c>
      <c r="B60" s="170" t="str">
        <f t="shared" ref="B60:B123" si="10">VLOOKUP(D60,$B$30:$C$53,2,FALSE)</f>
        <v>NORTE</v>
      </c>
      <c r="C60" s="171" t="s">
        <v>182</v>
      </c>
      <c r="D60" s="170" t="s">
        <v>73</v>
      </c>
      <c r="E60" s="314">
        <v>910</v>
      </c>
      <c r="F60" s="314">
        <v>860</v>
      </c>
      <c r="G60" s="314">
        <v>910</v>
      </c>
      <c r="H60" s="314">
        <v>920</v>
      </c>
      <c r="I60" s="314">
        <v>870</v>
      </c>
      <c r="J60" s="314">
        <v>860</v>
      </c>
      <c r="K60" s="314">
        <v>920</v>
      </c>
      <c r="L60" s="314">
        <v>900</v>
      </c>
      <c r="M60" s="314">
        <v>910</v>
      </c>
      <c r="N60" s="314">
        <v>920</v>
      </c>
      <c r="O60" s="314">
        <v>900</v>
      </c>
      <c r="P60" s="314">
        <v>920</v>
      </c>
      <c r="Q60" s="59"/>
      <c r="R60" s="59"/>
      <c r="S60" s="243"/>
      <c r="T60" s="59"/>
      <c r="U60" s="59"/>
    </row>
    <row r="61" spans="1:79">
      <c r="A61" s="131" t="str">
        <f t="shared" si="9"/>
        <v>SUR-CONTROL</v>
      </c>
      <c r="B61" s="170" t="str">
        <f t="shared" si="10"/>
        <v>SUR</v>
      </c>
      <c r="C61" s="171" t="s">
        <v>182</v>
      </c>
      <c r="D61" s="170" t="s">
        <v>175</v>
      </c>
      <c r="E61" s="314">
        <v>160</v>
      </c>
      <c r="F61" s="314">
        <v>170</v>
      </c>
      <c r="G61" s="314">
        <v>150</v>
      </c>
      <c r="H61" s="314">
        <v>160</v>
      </c>
      <c r="I61" s="314">
        <v>150</v>
      </c>
      <c r="J61" s="314">
        <v>150</v>
      </c>
      <c r="K61" s="314">
        <v>170</v>
      </c>
      <c r="L61" s="314">
        <v>150</v>
      </c>
      <c r="M61" s="314">
        <v>160</v>
      </c>
      <c r="N61" s="314">
        <v>160</v>
      </c>
      <c r="O61" s="314">
        <v>160</v>
      </c>
      <c r="P61" s="314">
        <v>150</v>
      </c>
      <c r="Q61" s="59"/>
      <c r="R61" s="59"/>
      <c r="S61" s="243"/>
      <c r="T61" s="59"/>
      <c r="U61" s="59"/>
    </row>
    <row r="62" spans="1:79">
      <c r="A62" s="131" t="str">
        <f t="shared" si="9"/>
        <v>SUR-CONTROL</v>
      </c>
      <c r="B62" s="170" t="str">
        <f t="shared" si="10"/>
        <v>SUR</v>
      </c>
      <c r="C62" s="171" t="s">
        <v>182</v>
      </c>
      <c r="D62" s="170" t="s">
        <v>74</v>
      </c>
      <c r="E62" s="314">
        <v>7900</v>
      </c>
      <c r="F62" s="314">
        <v>7600</v>
      </c>
      <c r="G62" s="314">
        <v>7600</v>
      </c>
      <c r="H62" s="314">
        <v>8400</v>
      </c>
      <c r="I62" s="314">
        <v>8600</v>
      </c>
      <c r="J62" s="314">
        <v>8300</v>
      </c>
      <c r="K62" s="314">
        <v>8300</v>
      </c>
      <c r="L62" s="314">
        <v>7400</v>
      </c>
      <c r="M62" s="314">
        <v>8000</v>
      </c>
      <c r="N62" s="314">
        <v>7300</v>
      </c>
      <c r="O62" s="314">
        <v>7900</v>
      </c>
      <c r="P62" s="314">
        <v>8400</v>
      </c>
      <c r="Q62" s="59"/>
      <c r="R62" s="59"/>
      <c r="S62" s="243"/>
      <c r="T62" s="59"/>
      <c r="U62" s="59"/>
    </row>
    <row r="63" spans="1:79">
      <c r="A63" s="131" t="str">
        <f t="shared" si="9"/>
        <v>CENTRO-CONTROL</v>
      </c>
      <c r="B63" s="170" t="str">
        <f t="shared" si="10"/>
        <v>CENTRO</v>
      </c>
      <c r="C63" s="171" t="s">
        <v>182</v>
      </c>
      <c r="D63" s="170" t="s">
        <v>75</v>
      </c>
      <c r="E63" s="314">
        <v>370</v>
      </c>
      <c r="F63" s="314">
        <v>350</v>
      </c>
      <c r="G63" s="314">
        <v>370</v>
      </c>
      <c r="H63" s="314">
        <v>350</v>
      </c>
      <c r="I63" s="314">
        <v>370</v>
      </c>
      <c r="J63" s="314">
        <v>370</v>
      </c>
      <c r="K63" s="314">
        <v>360</v>
      </c>
      <c r="L63" s="314">
        <v>360</v>
      </c>
      <c r="M63" s="314">
        <v>380</v>
      </c>
      <c r="N63" s="314">
        <v>390</v>
      </c>
      <c r="O63" s="314">
        <v>370</v>
      </c>
      <c r="P63" s="314">
        <v>380</v>
      </c>
      <c r="Q63" s="59"/>
      <c r="R63" s="59"/>
      <c r="S63" s="243"/>
      <c r="T63" s="59"/>
      <c r="U63" s="59"/>
    </row>
    <row r="64" spans="1:79">
      <c r="A64" s="131" t="str">
        <f t="shared" si="9"/>
        <v>NORTE-CONTROL</v>
      </c>
      <c r="B64" s="170" t="str">
        <f t="shared" si="10"/>
        <v>NORTE</v>
      </c>
      <c r="C64" s="171" t="s">
        <v>182</v>
      </c>
      <c r="D64" s="170" t="s">
        <v>76</v>
      </c>
      <c r="E64" s="314">
        <v>610</v>
      </c>
      <c r="F64" s="314">
        <v>640</v>
      </c>
      <c r="G64" s="314">
        <v>650</v>
      </c>
      <c r="H64" s="314">
        <v>680</v>
      </c>
      <c r="I64" s="314">
        <v>580</v>
      </c>
      <c r="J64" s="314">
        <v>580</v>
      </c>
      <c r="K64" s="314">
        <v>590</v>
      </c>
      <c r="L64" s="314">
        <v>560</v>
      </c>
      <c r="M64" s="314">
        <v>580</v>
      </c>
      <c r="N64" s="314">
        <v>580</v>
      </c>
      <c r="O64" s="314">
        <v>630</v>
      </c>
      <c r="P64" s="314">
        <v>620</v>
      </c>
      <c r="Q64" s="59"/>
      <c r="R64" s="59"/>
      <c r="S64" s="243"/>
      <c r="T64" s="59"/>
      <c r="U64" s="59"/>
    </row>
    <row r="65" spans="1:21">
      <c r="A65" s="131" t="str">
        <f t="shared" si="9"/>
        <v>SUR-CONTROL</v>
      </c>
      <c r="B65" s="170" t="str">
        <f t="shared" si="10"/>
        <v>SUR</v>
      </c>
      <c r="C65" s="171" t="s">
        <v>182</v>
      </c>
      <c r="D65" s="170" t="s">
        <v>176</v>
      </c>
      <c r="E65" s="314">
        <v>4900</v>
      </c>
      <c r="F65" s="314">
        <v>4900</v>
      </c>
      <c r="G65" s="314">
        <v>5100</v>
      </c>
      <c r="H65" s="314">
        <v>5200</v>
      </c>
      <c r="I65" s="314">
        <v>5300</v>
      </c>
      <c r="J65" s="314">
        <v>5000</v>
      </c>
      <c r="K65" s="314">
        <v>5000</v>
      </c>
      <c r="L65" s="314">
        <v>5300</v>
      </c>
      <c r="M65" s="314">
        <v>5200</v>
      </c>
      <c r="N65" s="314">
        <v>4900</v>
      </c>
      <c r="O65" s="314">
        <v>5100</v>
      </c>
      <c r="P65" s="314">
        <v>5300</v>
      </c>
      <c r="Q65" s="59"/>
      <c r="R65" s="59"/>
      <c r="S65" s="243"/>
      <c r="T65" s="59"/>
      <c r="U65" s="59"/>
    </row>
    <row r="66" spans="1:21">
      <c r="A66" s="131" t="str">
        <f t="shared" si="9"/>
        <v>CENTRO-CONTROL</v>
      </c>
      <c r="B66" s="170" t="str">
        <f t="shared" si="10"/>
        <v>CENTRO</v>
      </c>
      <c r="C66" s="171" t="s">
        <v>182</v>
      </c>
      <c r="D66" s="170" t="s">
        <v>77</v>
      </c>
      <c r="E66" s="314">
        <v>28</v>
      </c>
      <c r="F66" s="314">
        <v>31</v>
      </c>
      <c r="G66" s="314">
        <v>24</v>
      </c>
      <c r="H66" s="314">
        <v>21</v>
      </c>
      <c r="I66" s="314">
        <v>23</v>
      </c>
      <c r="J66" s="314">
        <v>22</v>
      </c>
      <c r="K66" s="314">
        <v>22</v>
      </c>
      <c r="L66" s="314">
        <v>33</v>
      </c>
      <c r="M66" s="314">
        <v>34</v>
      </c>
      <c r="N66" s="314">
        <v>32</v>
      </c>
      <c r="O66" s="314">
        <v>23</v>
      </c>
      <c r="P66" s="314">
        <v>33</v>
      </c>
      <c r="Q66" s="59"/>
      <c r="R66" s="59"/>
      <c r="S66" s="243"/>
      <c r="T66" s="59"/>
      <c r="U66" s="59"/>
    </row>
    <row r="67" spans="1:21">
      <c r="A67" s="131" t="str">
        <f t="shared" si="9"/>
        <v>CENTRO-CONTROL</v>
      </c>
      <c r="B67" s="170" t="str">
        <f t="shared" si="10"/>
        <v>CENTRO</v>
      </c>
      <c r="C67" s="171" t="s">
        <v>182</v>
      </c>
      <c r="D67" s="170" t="s">
        <v>78</v>
      </c>
      <c r="E67" s="314">
        <v>180</v>
      </c>
      <c r="F67" s="314">
        <v>120</v>
      </c>
      <c r="G67" s="314">
        <v>120</v>
      </c>
      <c r="H67" s="314">
        <v>110</v>
      </c>
      <c r="I67" s="314">
        <v>150</v>
      </c>
      <c r="J67" s="314">
        <v>110</v>
      </c>
      <c r="K67" s="314">
        <v>100</v>
      </c>
      <c r="L67" s="314">
        <v>110</v>
      </c>
      <c r="M67" s="314">
        <v>140</v>
      </c>
      <c r="N67" s="314">
        <v>130</v>
      </c>
      <c r="O67" s="314">
        <v>130</v>
      </c>
      <c r="P67" s="314">
        <v>180</v>
      </c>
      <c r="Q67" s="59"/>
      <c r="R67" s="59"/>
      <c r="S67" s="243"/>
      <c r="T67" s="59"/>
      <c r="U67" s="59"/>
    </row>
    <row r="68" spans="1:21">
      <c r="A68" s="131" t="str">
        <f t="shared" si="9"/>
        <v>CENTRO-CONTROL</v>
      </c>
      <c r="B68" s="170" t="str">
        <f t="shared" si="10"/>
        <v>CENTRO</v>
      </c>
      <c r="C68" s="171" t="s">
        <v>182</v>
      </c>
      <c r="D68" s="170" t="s">
        <v>79</v>
      </c>
      <c r="E68" s="314">
        <v>950</v>
      </c>
      <c r="F68" s="314">
        <v>930</v>
      </c>
      <c r="G68" s="314">
        <v>940</v>
      </c>
      <c r="H68" s="314">
        <v>970</v>
      </c>
      <c r="I68" s="314">
        <v>1010</v>
      </c>
      <c r="J68" s="314">
        <v>920</v>
      </c>
      <c r="K68" s="314">
        <v>980</v>
      </c>
      <c r="L68" s="314">
        <v>970</v>
      </c>
      <c r="M68" s="314">
        <v>950</v>
      </c>
      <c r="N68" s="314">
        <v>960</v>
      </c>
      <c r="O68" s="314">
        <v>910</v>
      </c>
      <c r="P68" s="314">
        <v>950</v>
      </c>
      <c r="Q68" s="59"/>
      <c r="R68" s="59"/>
      <c r="S68" s="243"/>
      <c r="T68" s="59"/>
      <c r="U68" s="59"/>
    </row>
    <row r="69" spans="1:21">
      <c r="A69" s="131" t="str">
        <f t="shared" si="9"/>
        <v>CENTRO-CONTROL</v>
      </c>
      <c r="B69" s="170" t="str">
        <f t="shared" si="10"/>
        <v>CENTRO</v>
      </c>
      <c r="C69" s="171" t="s">
        <v>182</v>
      </c>
      <c r="D69" s="170" t="s">
        <v>80</v>
      </c>
      <c r="E69" s="314">
        <v>800</v>
      </c>
      <c r="F69" s="314">
        <v>700</v>
      </c>
      <c r="G69" s="314">
        <v>700</v>
      </c>
      <c r="H69" s="314">
        <v>600</v>
      </c>
      <c r="I69" s="314">
        <v>800</v>
      </c>
      <c r="J69" s="314">
        <v>800</v>
      </c>
      <c r="K69" s="314">
        <v>600</v>
      </c>
      <c r="L69" s="314">
        <v>700</v>
      </c>
      <c r="M69" s="314">
        <v>700</v>
      </c>
      <c r="N69" s="314">
        <v>600</v>
      </c>
      <c r="O69" s="314">
        <v>600</v>
      </c>
      <c r="P69" s="314">
        <v>600</v>
      </c>
      <c r="Q69" s="59"/>
      <c r="R69" s="59"/>
      <c r="S69" s="243"/>
      <c r="T69" s="59"/>
      <c r="U69" s="59"/>
    </row>
    <row r="70" spans="1:21">
      <c r="A70" s="131" t="str">
        <f t="shared" si="9"/>
        <v>NORTE-CONTROL</v>
      </c>
      <c r="B70" s="170" t="str">
        <f t="shared" si="10"/>
        <v>NORTE</v>
      </c>
      <c r="C70" s="171" t="s">
        <v>182</v>
      </c>
      <c r="D70" s="170" t="s">
        <v>177</v>
      </c>
      <c r="E70" s="314">
        <v>6900</v>
      </c>
      <c r="F70" s="314">
        <v>7000</v>
      </c>
      <c r="G70" s="314">
        <v>6900</v>
      </c>
      <c r="H70" s="314">
        <v>6700</v>
      </c>
      <c r="I70" s="314">
        <v>6900</v>
      </c>
      <c r="J70" s="314">
        <v>7000</v>
      </c>
      <c r="K70" s="314">
        <v>6900</v>
      </c>
      <c r="L70" s="314">
        <v>6900</v>
      </c>
      <c r="M70" s="314">
        <v>6700</v>
      </c>
      <c r="N70" s="314">
        <v>7000</v>
      </c>
      <c r="O70" s="314">
        <v>7000</v>
      </c>
      <c r="P70" s="314">
        <v>6900</v>
      </c>
      <c r="Q70" s="59"/>
      <c r="R70" s="59"/>
      <c r="S70" s="243"/>
      <c r="T70" s="59"/>
      <c r="U70" s="59"/>
    </row>
    <row r="71" spans="1:21">
      <c r="A71" s="131" t="str">
        <f t="shared" si="9"/>
        <v>NORTE-CONTROL</v>
      </c>
      <c r="B71" s="170" t="str">
        <f t="shared" si="10"/>
        <v>NORTE</v>
      </c>
      <c r="C71" s="171" t="s">
        <v>182</v>
      </c>
      <c r="D71" s="170" t="s">
        <v>81</v>
      </c>
      <c r="E71" s="314">
        <v>2470</v>
      </c>
      <c r="F71" s="314">
        <v>2410</v>
      </c>
      <c r="G71" s="314">
        <v>2340</v>
      </c>
      <c r="H71" s="314">
        <v>2390</v>
      </c>
      <c r="I71" s="314">
        <v>2440</v>
      </c>
      <c r="J71" s="314">
        <v>2440</v>
      </c>
      <c r="K71" s="314">
        <v>2360</v>
      </c>
      <c r="L71" s="314">
        <v>2440</v>
      </c>
      <c r="M71" s="314">
        <v>2350</v>
      </c>
      <c r="N71" s="314">
        <v>2470</v>
      </c>
      <c r="O71" s="314">
        <v>2370</v>
      </c>
      <c r="P71" s="314">
        <v>2350</v>
      </c>
      <c r="Q71" s="59"/>
      <c r="R71" s="59"/>
      <c r="S71" s="243"/>
      <c r="T71" s="59"/>
      <c r="U71" s="59"/>
    </row>
    <row r="72" spans="1:21">
      <c r="A72" s="131" t="str">
        <f t="shared" si="9"/>
        <v>CENTRO-CONTROL</v>
      </c>
      <c r="B72" s="170" t="str">
        <f t="shared" si="10"/>
        <v>CENTRO</v>
      </c>
      <c r="C72" s="171" t="s">
        <v>182</v>
      </c>
      <c r="D72" s="170" t="s">
        <v>24</v>
      </c>
      <c r="E72" s="314">
        <v>51000</v>
      </c>
      <c r="F72" s="314">
        <v>54000</v>
      </c>
      <c r="G72" s="314">
        <v>55000</v>
      </c>
      <c r="H72" s="314">
        <v>53000</v>
      </c>
      <c r="I72" s="314">
        <v>53000</v>
      </c>
      <c r="J72" s="314">
        <v>52000</v>
      </c>
      <c r="K72" s="314">
        <v>52000</v>
      </c>
      <c r="L72" s="314">
        <v>55000</v>
      </c>
      <c r="M72" s="314">
        <v>53000</v>
      </c>
      <c r="N72" s="314">
        <v>54000</v>
      </c>
      <c r="O72" s="314">
        <v>55000</v>
      </c>
      <c r="P72" s="314">
        <v>52000</v>
      </c>
      <c r="Q72" s="59"/>
      <c r="R72" s="59"/>
      <c r="S72" s="243"/>
      <c r="T72" s="59"/>
      <c r="U72" s="59"/>
    </row>
    <row r="73" spans="1:21">
      <c r="A73" s="131" t="str">
        <f t="shared" si="9"/>
        <v>CENTRO-CONTROL</v>
      </c>
      <c r="B73" s="170" t="str">
        <f t="shared" si="10"/>
        <v>CENTRO</v>
      </c>
      <c r="C73" s="171" t="s">
        <v>182</v>
      </c>
      <c r="D73" s="170" t="s">
        <v>82</v>
      </c>
      <c r="E73" s="314">
        <v>1110</v>
      </c>
      <c r="F73" s="314">
        <v>1130</v>
      </c>
      <c r="G73" s="314">
        <v>1170</v>
      </c>
      <c r="H73" s="314">
        <v>1100</v>
      </c>
      <c r="I73" s="314">
        <v>1160</v>
      </c>
      <c r="J73" s="314">
        <v>1160</v>
      </c>
      <c r="K73" s="314">
        <v>1120</v>
      </c>
      <c r="L73" s="314">
        <v>1130</v>
      </c>
      <c r="M73" s="314">
        <v>1160</v>
      </c>
      <c r="N73" s="314">
        <v>1120</v>
      </c>
      <c r="O73" s="314">
        <v>1110</v>
      </c>
      <c r="P73" s="314">
        <v>1140</v>
      </c>
      <c r="Q73" s="59"/>
      <c r="R73" s="59"/>
      <c r="S73" s="243"/>
      <c r="T73" s="59"/>
      <c r="U73" s="59"/>
    </row>
    <row r="74" spans="1:21">
      <c r="A74" s="131" t="str">
        <f t="shared" si="9"/>
        <v>CENTRO-CONTROL</v>
      </c>
      <c r="B74" s="170" t="str">
        <f t="shared" si="10"/>
        <v>CENTRO</v>
      </c>
      <c r="C74" s="171" t="s">
        <v>182</v>
      </c>
      <c r="D74" s="170" t="s">
        <v>83</v>
      </c>
      <c r="E74" s="314">
        <v>790</v>
      </c>
      <c r="F74" s="314">
        <v>750</v>
      </c>
      <c r="G74" s="314">
        <v>760</v>
      </c>
      <c r="H74" s="314">
        <v>750</v>
      </c>
      <c r="I74" s="314">
        <v>790</v>
      </c>
      <c r="J74" s="314">
        <v>700</v>
      </c>
      <c r="K74" s="314">
        <v>740</v>
      </c>
      <c r="L74" s="314">
        <v>780</v>
      </c>
      <c r="M74" s="314">
        <v>740</v>
      </c>
      <c r="N74" s="314">
        <v>780</v>
      </c>
      <c r="O74" s="314">
        <v>690</v>
      </c>
      <c r="P74" s="314">
        <v>700</v>
      </c>
      <c r="Q74" s="59"/>
      <c r="R74" s="59"/>
      <c r="S74" s="243"/>
      <c r="T74" s="59"/>
      <c r="U74" s="59"/>
    </row>
    <row r="75" spans="1:21">
      <c r="A75" s="131" t="str">
        <f t="shared" si="9"/>
        <v>SUR-CONTROL</v>
      </c>
      <c r="B75" s="170" t="str">
        <f t="shared" si="10"/>
        <v>SUR</v>
      </c>
      <c r="C75" s="171" t="s">
        <v>182</v>
      </c>
      <c r="D75" s="170" t="s">
        <v>84</v>
      </c>
      <c r="E75" s="314">
        <v>580</v>
      </c>
      <c r="F75" s="314">
        <v>530</v>
      </c>
      <c r="G75" s="314">
        <v>560</v>
      </c>
      <c r="H75" s="314">
        <v>580</v>
      </c>
      <c r="I75" s="314">
        <v>570</v>
      </c>
      <c r="J75" s="314">
        <v>560</v>
      </c>
      <c r="K75" s="314">
        <v>530</v>
      </c>
      <c r="L75" s="314">
        <v>530</v>
      </c>
      <c r="M75" s="314">
        <v>580</v>
      </c>
      <c r="N75" s="314">
        <v>550</v>
      </c>
      <c r="O75" s="314">
        <v>570</v>
      </c>
      <c r="P75" s="314">
        <v>560</v>
      </c>
      <c r="Q75" s="59"/>
      <c r="R75" s="59"/>
      <c r="S75" s="243"/>
      <c r="T75" s="59"/>
      <c r="U75" s="59"/>
    </row>
    <row r="76" spans="1:21">
      <c r="A76" s="131" t="str">
        <f t="shared" si="9"/>
        <v>CENTRO-CONTROL</v>
      </c>
      <c r="B76" s="170" t="str">
        <f t="shared" si="10"/>
        <v>CENTRO</v>
      </c>
      <c r="C76" s="171" t="s">
        <v>182</v>
      </c>
      <c r="D76" s="170" t="s">
        <v>85</v>
      </c>
      <c r="E76" s="314">
        <v>22</v>
      </c>
      <c r="F76" s="314">
        <v>24</v>
      </c>
      <c r="G76" s="314">
        <v>20</v>
      </c>
      <c r="H76" s="314">
        <v>22</v>
      </c>
      <c r="I76" s="314">
        <v>25</v>
      </c>
      <c r="J76" s="314">
        <v>22</v>
      </c>
      <c r="K76" s="314">
        <v>27</v>
      </c>
      <c r="L76" s="314">
        <v>30</v>
      </c>
      <c r="M76" s="314">
        <v>23</v>
      </c>
      <c r="N76" s="314">
        <v>20</v>
      </c>
      <c r="O76" s="314">
        <v>19</v>
      </c>
      <c r="P76" s="314">
        <v>16</v>
      </c>
      <c r="Q76" s="59"/>
      <c r="R76" s="59"/>
      <c r="S76" s="243"/>
      <c r="T76" s="59"/>
      <c r="U76" s="59"/>
    </row>
    <row r="77" spans="1:21">
      <c r="A77" s="131" t="str">
        <f t="shared" si="9"/>
        <v>NORTE-CONTROL</v>
      </c>
      <c r="B77" s="170" t="str">
        <f t="shared" si="10"/>
        <v>NORTE</v>
      </c>
      <c r="C77" s="171" t="s">
        <v>182</v>
      </c>
      <c r="D77" s="170" t="s">
        <v>86</v>
      </c>
      <c r="E77" s="314">
        <v>2100</v>
      </c>
      <c r="F77" s="314">
        <v>1900</v>
      </c>
      <c r="G77" s="314">
        <v>2000</v>
      </c>
      <c r="H77" s="314">
        <v>2000</v>
      </c>
      <c r="I77" s="314">
        <v>1800</v>
      </c>
      <c r="J77" s="314">
        <v>1800</v>
      </c>
      <c r="K77" s="314">
        <v>1900</v>
      </c>
      <c r="L77" s="314">
        <v>1900</v>
      </c>
      <c r="M77" s="314">
        <v>2100</v>
      </c>
      <c r="N77" s="314">
        <v>2100</v>
      </c>
      <c r="O77" s="314">
        <v>2100</v>
      </c>
      <c r="P77" s="314">
        <v>2100</v>
      </c>
      <c r="Q77" s="59"/>
      <c r="R77" s="59"/>
      <c r="S77" s="243"/>
      <c r="T77" s="59"/>
      <c r="U77" s="59"/>
    </row>
    <row r="78" spans="1:21">
      <c r="A78" s="131" t="str">
        <f t="shared" si="9"/>
        <v>SUR-CONTROL</v>
      </c>
      <c r="B78" s="170" t="str">
        <f t="shared" si="10"/>
        <v>SUR</v>
      </c>
      <c r="C78" s="171" t="s">
        <v>182</v>
      </c>
      <c r="D78" s="170" t="s">
        <v>178</v>
      </c>
      <c r="E78" s="314">
        <v>760</v>
      </c>
      <c r="F78" s="314">
        <v>800</v>
      </c>
      <c r="G78" s="314">
        <v>830</v>
      </c>
      <c r="H78" s="314">
        <v>760</v>
      </c>
      <c r="I78" s="314">
        <v>810</v>
      </c>
      <c r="J78" s="314">
        <v>820</v>
      </c>
      <c r="K78" s="314">
        <v>760</v>
      </c>
      <c r="L78" s="314">
        <v>760</v>
      </c>
      <c r="M78" s="314">
        <v>780</v>
      </c>
      <c r="N78" s="314">
        <v>750</v>
      </c>
      <c r="O78" s="314">
        <v>750</v>
      </c>
      <c r="P78" s="314">
        <v>770</v>
      </c>
      <c r="Q78" s="59"/>
      <c r="R78" s="59"/>
      <c r="S78" s="243"/>
      <c r="T78" s="59"/>
      <c r="U78" s="59"/>
    </row>
    <row r="79" spans="1:21">
      <c r="A79" s="131" t="str">
        <f t="shared" si="9"/>
        <v>NORTE-CONTROL</v>
      </c>
      <c r="B79" s="170" t="str">
        <f t="shared" si="10"/>
        <v>NORTE</v>
      </c>
      <c r="C79" s="171" t="s">
        <v>182</v>
      </c>
      <c r="D79" s="170" t="s">
        <v>87</v>
      </c>
      <c r="E79" s="314">
        <v>480</v>
      </c>
      <c r="F79" s="314">
        <v>370</v>
      </c>
      <c r="G79" s="314">
        <v>370</v>
      </c>
      <c r="H79" s="314">
        <v>430</v>
      </c>
      <c r="I79" s="314">
        <v>500</v>
      </c>
      <c r="J79" s="314">
        <v>450</v>
      </c>
      <c r="K79" s="314">
        <v>350</v>
      </c>
      <c r="L79" s="314">
        <v>470</v>
      </c>
      <c r="M79" s="314">
        <v>380</v>
      </c>
      <c r="N79" s="314">
        <v>480</v>
      </c>
      <c r="O79" s="314">
        <v>390</v>
      </c>
      <c r="P79" s="314">
        <v>350</v>
      </c>
      <c r="Q79" s="59"/>
      <c r="R79" s="59"/>
      <c r="S79" s="243"/>
      <c r="T79" s="59"/>
      <c r="U79" s="59"/>
    </row>
    <row r="80" spans="1:21">
      <c r="A80" s="131" t="str">
        <f t="shared" si="9"/>
        <v>SUR-CONTROL</v>
      </c>
      <c r="B80" s="170" t="str">
        <f t="shared" si="10"/>
        <v>SUR</v>
      </c>
      <c r="C80" s="171" t="s">
        <v>182</v>
      </c>
      <c r="D80" s="170" t="s">
        <v>88</v>
      </c>
      <c r="E80" s="314">
        <v>1530</v>
      </c>
      <c r="F80" s="314">
        <v>1540</v>
      </c>
      <c r="G80" s="314">
        <v>1500</v>
      </c>
      <c r="H80" s="314">
        <v>1470</v>
      </c>
      <c r="I80" s="314">
        <v>1540</v>
      </c>
      <c r="J80" s="314">
        <v>1540</v>
      </c>
      <c r="K80" s="314">
        <v>1510</v>
      </c>
      <c r="L80" s="314">
        <v>1530</v>
      </c>
      <c r="M80" s="314">
        <v>1560</v>
      </c>
      <c r="N80" s="314">
        <v>1540</v>
      </c>
      <c r="O80" s="314">
        <v>1480</v>
      </c>
      <c r="P80" s="314">
        <v>1560</v>
      </c>
      <c r="Q80" s="59"/>
      <c r="R80" s="59"/>
      <c r="S80" s="243"/>
      <c r="T80" s="59"/>
      <c r="U80" s="59"/>
    </row>
    <row r="81" spans="1:21">
      <c r="A81" s="131" t="str">
        <f t="shared" si="9"/>
        <v>NORTE-CONTROL</v>
      </c>
      <c r="B81" s="170" t="str">
        <f t="shared" si="10"/>
        <v>NORTE</v>
      </c>
      <c r="C81" s="171" t="s">
        <v>182</v>
      </c>
      <c r="D81" s="170" t="s">
        <v>179</v>
      </c>
      <c r="E81" s="314">
        <v>120</v>
      </c>
      <c r="F81" s="314">
        <v>130</v>
      </c>
      <c r="G81" s="314">
        <v>140</v>
      </c>
      <c r="H81" s="314">
        <v>130</v>
      </c>
      <c r="I81" s="314">
        <v>130</v>
      </c>
      <c r="J81" s="314">
        <v>120</v>
      </c>
      <c r="K81" s="314">
        <v>140</v>
      </c>
      <c r="L81" s="314">
        <v>120</v>
      </c>
      <c r="M81" s="314">
        <v>140</v>
      </c>
      <c r="N81" s="314">
        <v>140</v>
      </c>
      <c r="O81" s="314">
        <v>140</v>
      </c>
      <c r="P81" s="314">
        <v>140</v>
      </c>
      <c r="Q81" s="59"/>
      <c r="R81" s="59"/>
      <c r="S81" s="243"/>
      <c r="T81" s="59"/>
      <c r="U81" s="59"/>
    </row>
    <row r="82" spans="1:21">
      <c r="A82" s="131" t="str">
        <f t="shared" si="9"/>
        <v>CENTRO-CONTROL</v>
      </c>
      <c r="B82" s="170" t="str">
        <f t="shared" si="10"/>
        <v>CENTRO</v>
      </c>
      <c r="C82" s="171" t="s">
        <v>182</v>
      </c>
      <c r="D82" s="170" t="s">
        <v>89</v>
      </c>
      <c r="E82" s="314">
        <v>171</v>
      </c>
      <c r="F82" s="314">
        <v>157</v>
      </c>
      <c r="G82" s="314">
        <v>168</v>
      </c>
      <c r="H82" s="314">
        <v>159</v>
      </c>
      <c r="I82" s="314">
        <v>167</v>
      </c>
      <c r="J82" s="314">
        <v>159</v>
      </c>
      <c r="K82" s="314">
        <v>160</v>
      </c>
      <c r="L82" s="314">
        <v>160</v>
      </c>
      <c r="M82" s="314">
        <v>172</v>
      </c>
      <c r="N82" s="314">
        <v>160</v>
      </c>
      <c r="O82" s="314">
        <v>163</v>
      </c>
      <c r="P82" s="314">
        <v>158</v>
      </c>
      <c r="Q82" s="59"/>
      <c r="R82" s="59"/>
      <c r="S82" s="243"/>
      <c r="T82" s="59"/>
      <c r="U82" s="59"/>
    </row>
    <row r="83" spans="1:21">
      <c r="A83" s="131" t="str">
        <f t="shared" si="9"/>
        <v>NORTE-POSTPAGO</v>
      </c>
      <c r="B83" s="170" t="str">
        <f t="shared" si="10"/>
        <v>NORTE</v>
      </c>
      <c r="C83" s="170" t="s">
        <v>183</v>
      </c>
      <c r="D83" s="170" t="s">
        <v>72</v>
      </c>
      <c r="E83" s="314">
        <v>619</v>
      </c>
      <c r="F83" s="314">
        <v>624</v>
      </c>
      <c r="G83" s="314">
        <v>624</v>
      </c>
      <c r="H83" s="314">
        <v>612</v>
      </c>
      <c r="I83" s="314">
        <v>622</v>
      </c>
      <c r="J83" s="314">
        <v>614</v>
      </c>
      <c r="K83" s="314">
        <v>607</v>
      </c>
      <c r="L83" s="314">
        <v>608</v>
      </c>
      <c r="M83" s="314">
        <v>606</v>
      </c>
      <c r="N83" s="314">
        <v>615</v>
      </c>
      <c r="O83" s="314">
        <v>608</v>
      </c>
      <c r="P83" s="314">
        <v>620</v>
      </c>
      <c r="Q83" s="59"/>
      <c r="R83" s="59"/>
      <c r="S83" s="243"/>
      <c r="T83" s="59"/>
      <c r="U83" s="59"/>
    </row>
    <row r="84" spans="1:21">
      <c r="A84" s="131" t="str">
        <f t="shared" si="9"/>
        <v>NORTE-POSTPAGO</v>
      </c>
      <c r="B84" s="170" t="str">
        <f t="shared" si="10"/>
        <v>NORTE</v>
      </c>
      <c r="C84" s="170" t="s">
        <v>183</v>
      </c>
      <c r="D84" s="170" t="s">
        <v>73</v>
      </c>
      <c r="E84" s="314">
        <v>6800</v>
      </c>
      <c r="F84" s="314">
        <v>6700</v>
      </c>
      <c r="G84" s="314">
        <v>6700</v>
      </c>
      <c r="H84" s="314">
        <v>6400</v>
      </c>
      <c r="I84" s="314">
        <v>6600</v>
      </c>
      <c r="J84" s="314">
        <v>6500</v>
      </c>
      <c r="K84" s="314">
        <v>6700</v>
      </c>
      <c r="L84" s="314">
        <v>6500</v>
      </c>
      <c r="M84" s="314">
        <v>6500</v>
      </c>
      <c r="N84" s="314">
        <v>6600</v>
      </c>
      <c r="O84" s="314">
        <v>6500</v>
      </c>
      <c r="P84" s="314">
        <v>6300</v>
      </c>
      <c r="Q84" s="59"/>
      <c r="R84" s="59"/>
      <c r="S84" s="243"/>
      <c r="T84" s="59"/>
      <c r="U84" s="59"/>
    </row>
    <row r="85" spans="1:21">
      <c r="A85" s="131" t="str">
        <f t="shared" si="9"/>
        <v>SUR-POSTPAGO</v>
      </c>
      <c r="B85" s="170" t="str">
        <f t="shared" si="10"/>
        <v>SUR</v>
      </c>
      <c r="C85" s="170" t="s">
        <v>183</v>
      </c>
      <c r="D85" s="170" t="s">
        <v>175</v>
      </c>
      <c r="E85" s="314">
        <v>1100</v>
      </c>
      <c r="F85" s="314">
        <v>1200</v>
      </c>
      <c r="G85" s="314">
        <v>1400</v>
      </c>
      <c r="H85" s="314">
        <v>1100</v>
      </c>
      <c r="I85" s="314">
        <v>1400</v>
      </c>
      <c r="J85" s="314">
        <v>1500</v>
      </c>
      <c r="K85" s="314">
        <v>1300</v>
      </c>
      <c r="L85" s="314">
        <v>1400</v>
      </c>
      <c r="M85" s="314">
        <v>1400</v>
      </c>
      <c r="N85" s="314">
        <v>1300</v>
      </c>
      <c r="O85" s="314">
        <v>1400</v>
      </c>
      <c r="P85" s="314">
        <v>1200</v>
      </c>
      <c r="Q85" s="59"/>
      <c r="R85" s="59"/>
      <c r="S85" s="243"/>
      <c r="T85" s="59"/>
      <c r="U85" s="59"/>
    </row>
    <row r="86" spans="1:21">
      <c r="A86" s="131" t="str">
        <f t="shared" si="9"/>
        <v>SUR-POSTPAGO</v>
      </c>
      <c r="B86" s="170" t="str">
        <f t="shared" si="10"/>
        <v>SUR</v>
      </c>
      <c r="C86" s="170" t="s">
        <v>183</v>
      </c>
      <c r="D86" s="170" t="s">
        <v>74</v>
      </c>
      <c r="E86" s="314">
        <v>59000</v>
      </c>
      <c r="F86" s="314">
        <v>55000</v>
      </c>
      <c r="G86" s="314">
        <v>57000</v>
      </c>
      <c r="H86" s="314">
        <v>57000</v>
      </c>
      <c r="I86" s="314">
        <v>58000</v>
      </c>
      <c r="J86" s="314">
        <v>57000</v>
      </c>
      <c r="K86" s="314">
        <v>58000</v>
      </c>
      <c r="L86" s="314">
        <v>58000</v>
      </c>
      <c r="M86" s="314">
        <v>56000</v>
      </c>
      <c r="N86" s="314">
        <v>58000</v>
      </c>
      <c r="O86" s="314">
        <v>57000</v>
      </c>
      <c r="P86" s="314">
        <v>56000</v>
      </c>
      <c r="Q86" s="59"/>
      <c r="R86" s="59"/>
      <c r="S86" s="243"/>
      <c r="T86" s="59"/>
      <c r="U86" s="59"/>
    </row>
    <row r="87" spans="1:21">
      <c r="A87" s="131" t="str">
        <f t="shared" si="9"/>
        <v>CENTRO-POSTPAGO</v>
      </c>
      <c r="B87" s="170" t="str">
        <f t="shared" si="10"/>
        <v>CENTRO</v>
      </c>
      <c r="C87" s="170" t="s">
        <v>183</v>
      </c>
      <c r="D87" s="170" t="s">
        <v>75</v>
      </c>
      <c r="E87" s="314">
        <v>2000</v>
      </c>
      <c r="F87" s="314">
        <v>2100</v>
      </c>
      <c r="G87" s="314">
        <v>2600</v>
      </c>
      <c r="H87" s="314">
        <v>2500</v>
      </c>
      <c r="I87" s="314">
        <v>2100</v>
      </c>
      <c r="J87" s="314">
        <v>2300</v>
      </c>
      <c r="K87" s="314">
        <v>2200</v>
      </c>
      <c r="L87" s="314">
        <v>2500</v>
      </c>
      <c r="M87" s="314">
        <v>2300</v>
      </c>
      <c r="N87" s="314">
        <v>2600</v>
      </c>
      <c r="O87" s="314">
        <v>2100</v>
      </c>
      <c r="P87" s="314">
        <v>2200</v>
      </c>
      <c r="Q87" s="59"/>
      <c r="R87" s="59"/>
      <c r="S87" s="243"/>
      <c r="T87" s="59"/>
      <c r="U87" s="59"/>
    </row>
    <row r="88" spans="1:21">
      <c r="A88" s="131" t="str">
        <f t="shared" si="9"/>
        <v>NORTE-POSTPAGO</v>
      </c>
      <c r="B88" s="170" t="str">
        <f t="shared" si="10"/>
        <v>NORTE</v>
      </c>
      <c r="C88" s="170" t="s">
        <v>183</v>
      </c>
      <c r="D88" s="170" t="s">
        <v>76</v>
      </c>
      <c r="E88" s="314">
        <v>18000</v>
      </c>
      <c r="F88" s="314">
        <v>21000</v>
      </c>
      <c r="G88" s="314">
        <v>19000</v>
      </c>
      <c r="H88" s="314">
        <v>20000</v>
      </c>
      <c r="I88" s="314">
        <v>20000</v>
      </c>
      <c r="J88" s="314">
        <v>18000</v>
      </c>
      <c r="K88" s="314">
        <v>17000</v>
      </c>
      <c r="L88" s="314">
        <v>18000</v>
      </c>
      <c r="M88" s="314">
        <v>17000</v>
      </c>
      <c r="N88" s="314">
        <v>18000</v>
      </c>
      <c r="O88" s="314">
        <v>19000</v>
      </c>
      <c r="P88" s="314">
        <v>18000</v>
      </c>
      <c r="Q88" s="59"/>
      <c r="R88" s="59"/>
      <c r="S88" s="243"/>
      <c r="T88" s="59"/>
      <c r="U88" s="59"/>
    </row>
    <row r="89" spans="1:21">
      <c r="A89" s="131" t="str">
        <f t="shared" si="9"/>
        <v>SUR-POSTPAGO</v>
      </c>
      <c r="B89" s="170" t="str">
        <f t="shared" si="10"/>
        <v>SUR</v>
      </c>
      <c r="C89" s="170" t="s">
        <v>183</v>
      </c>
      <c r="D89" s="170" t="s">
        <v>176</v>
      </c>
      <c r="E89" s="314">
        <v>23000</v>
      </c>
      <c r="F89" s="314">
        <v>24000</v>
      </c>
      <c r="G89" s="314">
        <v>22000</v>
      </c>
      <c r="H89" s="314">
        <v>23000</v>
      </c>
      <c r="I89" s="314">
        <v>24000</v>
      </c>
      <c r="J89" s="314">
        <v>22000</v>
      </c>
      <c r="K89" s="314">
        <v>22000</v>
      </c>
      <c r="L89" s="314">
        <v>22000</v>
      </c>
      <c r="M89" s="314">
        <v>23000</v>
      </c>
      <c r="N89" s="314">
        <v>22000</v>
      </c>
      <c r="O89" s="314">
        <v>24000</v>
      </c>
      <c r="P89" s="314">
        <v>23000</v>
      </c>
      <c r="Q89" s="59"/>
      <c r="R89" s="59"/>
      <c r="S89" s="243"/>
      <c r="T89" s="59"/>
      <c r="U89" s="59"/>
    </row>
    <row r="90" spans="1:21">
      <c r="A90" s="131" t="str">
        <f t="shared" si="9"/>
        <v>CENTRO-POSTPAGO</v>
      </c>
      <c r="B90" s="170" t="str">
        <f t="shared" si="10"/>
        <v>CENTRO</v>
      </c>
      <c r="C90" s="170" t="s">
        <v>183</v>
      </c>
      <c r="D90" s="170" t="s">
        <v>77</v>
      </c>
      <c r="E90" s="314">
        <v>650</v>
      </c>
      <c r="F90" s="314">
        <v>650</v>
      </c>
      <c r="G90" s="314">
        <v>580</v>
      </c>
      <c r="H90" s="314">
        <v>620</v>
      </c>
      <c r="I90" s="314">
        <v>650</v>
      </c>
      <c r="J90" s="314">
        <v>540</v>
      </c>
      <c r="K90" s="314">
        <v>640</v>
      </c>
      <c r="L90" s="314">
        <v>570</v>
      </c>
      <c r="M90" s="314">
        <v>620</v>
      </c>
      <c r="N90" s="314">
        <v>580</v>
      </c>
      <c r="O90" s="314">
        <v>570</v>
      </c>
      <c r="P90" s="314">
        <v>610</v>
      </c>
      <c r="Q90" s="59"/>
      <c r="R90" s="59"/>
      <c r="S90" s="243"/>
      <c r="T90" s="59"/>
      <c r="U90" s="59"/>
    </row>
    <row r="91" spans="1:21">
      <c r="A91" s="131" t="str">
        <f t="shared" si="9"/>
        <v>CENTRO-POSTPAGO</v>
      </c>
      <c r="B91" s="170" t="str">
        <f t="shared" si="10"/>
        <v>CENTRO</v>
      </c>
      <c r="C91" s="170" t="s">
        <v>183</v>
      </c>
      <c r="D91" s="170" t="s">
        <v>78</v>
      </c>
      <c r="E91" s="314">
        <v>2700</v>
      </c>
      <c r="F91" s="314">
        <v>2300</v>
      </c>
      <c r="G91" s="314">
        <v>2200</v>
      </c>
      <c r="H91" s="314">
        <v>2300</v>
      </c>
      <c r="I91" s="314">
        <v>2700</v>
      </c>
      <c r="J91" s="314">
        <v>2300</v>
      </c>
      <c r="K91" s="314">
        <v>2500</v>
      </c>
      <c r="L91" s="314">
        <v>2300</v>
      </c>
      <c r="M91" s="314">
        <v>2500</v>
      </c>
      <c r="N91" s="314">
        <v>2100</v>
      </c>
      <c r="O91" s="314">
        <v>2700</v>
      </c>
      <c r="P91" s="314">
        <v>2100</v>
      </c>
      <c r="Q91" s="59"/>
      <c r="R91" s="59"/>
      <c r="S91" s="243"/>
      <c r="T91" s="59"/>
      <c r="U91" s="59"/>
    </row>
    <row r="92" spans="1:21">
      <c r="A92" s="131" t="str">
        <f t="shared" si="9"/>
        <v>CENTRO-POSTPAGO</v>
      </c>
      <c r="B92" s="170" t="str">
        <f t="shared" si="10"/>
        <v>CENTRO</v>
      </c>
      <c r="C92" s="170" t="s">
        <v>183</v>
      </c>
      <c r="D92" s="170" t="s">
        <v>79</v>
      </c>
      <c r="E92" s="314">
        <v>6700</v>
      </c>
      <c r="F92" s="314">
        <v>6600</v>
      </c>
      <c r="G92" s="314">
        <v>6400</v>
      </c>
      <c r="H92" s="314">
        <v>7100</v>
      </c>
      <c r="I92" s="314">
        <v>7000</v>
      </c>
      <c r="J92" s="314">
        <v>6000</v>
      </c>
      <c r="K92" s="314">
        <v>7100</v>
      </c>
      <c r="L92" s="314">
        <v>6400</v>
      </c>
      <c r="M92" s="314">
        <v>6400</v>
      </c>
      <c r="N92" s="314">
        <v>6200</v>
      </c>
      <c r="O92" s="314">
        <v>6000</v>
      </c>
      <c r="P92" s="314">
        <v>6300</v>
      </c>
      <c r="Q92" s="59"/>
      <c r="R92" s="59"/>
      <c r="S92" s="243"/>
      <c r="T92" s="59"/>
      <c r="U92" s="59"/>
    </row>
    <row r="93" spans="1:21">
      <c r="A93" s="131" t="str">
        <f t="shared" si="9"/>
        <v>CENTRO-POSTPAGO</v>
      </c>
      <c r="B93" s="170" t="str">
        <f t="shared" si="10"/>
        <v>CENTRO</v>
      </c>
      <c r="C93" s="170" t="s">
        <v>183</v>
      </c>
      <c r="D93" s="170" t="s">
        <v>80</v>
      </c>
      <c r="E93" s="314">
        <v>10000</v>
      </c>
      <c r="F93" s="314">
        <v>10000</v>
      </c>
      <c r="G93" s="314">
        <v>9900</v>
      </c>
      <c r="H93" s="314">
        <v>10100</v>
      </c>
      <c r="I93" s="314">
        <v>9800</v>
      </c>
      <c r="J93" s="314">
        <v>9300</v>
      </c>
      <c r="K93" s="314">
        <v>9500</v>
      </c>
      <c r="L93" s="314">
        <v>10100</v>
      </c>
      <c r="M93" s="314">
        <v>9900</v>
      </c>
      <c r="N93" s="314">
        <v>9600</v>
      </c>
      <c r="O93" s="314">
        <v>9900</v>
      </c>
      <c r="P93" s="314">
        <v>9100</v>
      </c>
      <c r="Q93" s="59"/>
      <c r="R93" s="59"/>
      <c r="S93" s="243"/>
      <c r="T93" s="59"/>
      <c r="U93" s="59"/>
    </row>
    <row r="94" spans="1:21">
      <c r="A94" s="131" t="str">
        <f t="shared" si="9"/>
        <v>NORTE-POSTPAGO</v>
      </c>
      <c r="B94" s="170" t="str">
        <f t="shared" si="10"/>
        <v>NORTE</v>
      </c>
      <c r="C94" s="170" t="s">
        <v>183</v>
      </c>
      <c r="D94" s="170" t="s">
        <v>177</v>
      </c>
      <c r="E94" s="314">
        <v>31000</v>
      </c>
      <c r="F94" s="314">
        <v>28000</v>
      </c>
      <c r="G94" s="314">
        <v>28000</v>
      </c>
      <c r="H94" s="314">
        <v>28000</v>
      </c>
      <c r="I94" s="314">
        <v>29000</v>
      </c>
      <c r="J94" s="314">
        <v>28000</v>
      </c>
      <c r="K94" s="314">
        <v>28000</v>
      </c>
      <c r="L94" s="314">
        <v>32000</v>
      </c>
      <c r="M94" s="314">
        <v>28000</v>
      </c>
      <c r="N94" s="314">
        <v>29000</v>
      </c>
      <c r="O94" s="314">
        <v>28000</v>
      </c>
      <c r="P94" s="314">
        <v>28000</v>
      </c>
      <c r="Q94" s="59"/>
      <c r="R94" s="59"/>
      <c r="S94" s="243"/>
      <c r="T94" s="59"/>
      <c r="U94" s="59"/>
    </row>
    <row r="95" spans="1:21">
      <c r="A95" s="131" t="str">
        <f t="shared" si="9"/>
        <v>NORTE-POSTPAGO</v>
      </c>
      <c r="B95" s="170" t="str">
        <f t="shared" si="10"/>
        <v>NORTE</v>
      </c>
      <c r="C95" s="170" t="s">
        <v>183</v>
      </c>
      <c r="D95" s="170" t="s">
        <v>81</v>
      </c>
      <c r="E95" s="314">
        <v>14300</v>
      </c>
      <c r="F95" s="314">
        <v>14200</v>
      </c>
      <c r="G95" s="314">
        <v>13500</v>
      </c>
      <c r="H95" s="314">
        <v>13800</v>
      </c>
      <c r="I95" s="314">
        <v>13700</v>
      </c>
      <c r="J95" s="314">
        <v>14300</v>
      </c>
      <c r="K95" s="314">
        <v>14800</v>
      </c>
      <c r="L95" s="314">
        <v>14300</v>
      </c>
      <c r="M95" s="314">
        <v>13700</v>
      </c>
      <c r="N95" s="314">
        <v>14600</v>
      </c>
      <c r="O95" s="314">
        <v>13400</v>
      </c>
      <c r="P95" s="314">
        <v>14900</v>
      </c>
      <c r="Q95" s="59"/>
      <c r="R95" s="59"/>
      <c r="S95" s="243"/>
      <c r="T95" s="59"/>
      <c r="U95" s="59"/>
    </row>
    <row r="96" spans="1:21">
      <c r="A96" s="131" t="str">
        <f t="shared" si="9"/>
        <v>CENTRO-POSTPAGO</v>
      </c>
      <c r="B96" s="170" t="str">
        <f t="shared" si="10"/>
        <v>CENTRO</v>
      </c>
      <c r="C96" s="170" t="s">
        <v>183</v>
      </c>
      <c r="D96" s="170" t="s">
        <v>24</v>
      </c>
      <c r="E96" s="314">
        <v>550000</v>
      </c>
      <c r="F96" s="314">
        <v>550000</v>
      </c>
      <c r="G96" s="314">
        <v>540000</v>
      </c>
      <c r="H96" s="314">
        <v>570000</v>
      </c>
      <c r="I96" s="314">
        <v>570000</v>
      </c>
      <c r="J96" s="314">
        <v>570000</v>
      </c>
      <c r="K96" s="314">
        <v>560000</v>
      </c>
      <c r="L96" s="314">
        <v>550000</v>
      </c>
      <c r="M96" s="314">
        <v>560000</v>
      </c>
      <c r="N96" s="314">
        <v>580000</v>
      </c>
      <c r="O96" s="314">
        <v>570000</v>
      </c>
      <c r="P96" s="314">
        <v>550000</v>
      </c>
      <c r="Q96" s="59"/>
      <c r="R96" s="59"/>
      <c r="S96" s="243"/>
      <c r="T96" s="59"/>
      <c r="U96" s="59"/>
    </row>
    <row r="97" spans="1:21">
      <c r="A97" s="131" t="str">
        <f t="shared" si="9"/>
        <v>CENTRO-POSTPAGO</v>
      </c>
      <c r="B97" s="170" t="str">
        <f t="shared" si="10"/>
        <v>CENTRO</v>
      </c>
      <c r="C97" s="170" t="s">
        <v>183</v>
      </c>
      <c r="D97" s="170" t="s">
        <v>82</v>
      </c>
      <c r="E97" s="314">
        <v>4600</v>
      </c>
      <c r="F97" s="314">
        <v>4200</v>
      </c>
      <c r="G97" s="314">
        <v>4100</v>
      </c>
      <c r="H97" s="314">
        <v>4700</v>
      </c>
      <c r="I97" s="314">
        <v>4000</v>
      </c>
      <c r="J97" s="314">
        <v>4300</v>
      </c>
      <c r="K97" s="314">
        <v>4200</v>
      </c>
      <c r="L97" s="314">
        <v>4100</v>
      </c>
      <c r="M97" s="314">
        <v>4200</v>
      </c>
      <c r="N97" s="314">
        <v>4500</v>
      </c>
      <c r="O97" s="314">
        <v>4600</v>
      </c>
      <c r="P97" s="314">
        <v>4500</v>
      </c>
      <c r="Q97" s="59"/>
      <c r="R97" s="59"/>
      <c r="S97" s="243"/>
      <c r="T97" s="59"/>
      <c r="U97" s="59"/>
    </row>
    <row r="98" spans="1:21">
      <c r="A98" s="131" t="str">
        <f t="shared" si="9"/>
        <v>CENTRO-POSTPAGO</v>
      </c>
      <c r="B98" s="170" t="str">
        <f t="shared" si="10"/>
        <v>CENTRO</v>
      </c>
      <c r="C98" s="170" t="s">
        <v>183</v>
      </c>
      <c r="D98" s="170" t="s">
        <v>83</v>
      </c>
      <c r="E98" s="314">
        <v>2800</v>
      </c>
      <c r="F98" s="314">
        <v>2800</v>
      </c>
      <c r="G98" s="314">
        <v>2600</v>
      </c>
      <c r="H98" s="314">
        <v>2400</v>
      </c>
      <c r="I98" s="314">
        <v>2400</v>
      </c>
      <c r="J98" s="314">
        <v>2400</v>
      </c>
      <c r="K98" s="314">
        <v>2600</v>
      </c>
      <c r="L98" s="314">
        <v>2800</v>
      </c>
      <c r="M98" s="314">
        <v>3000</v>
      </c>
      <c r="N98" s="314">
        <v>3000</v>
      </c>
      <c r="O98" s="314">
        <v>2500</v>
      </c>
      <c r="P98" s="314">
        <v>2500</v>
      </c>
      <c r="Q98" s="59"/>
      <c r="R98" s="59"/>
      <c r="S98" s="243"/>
      <c r="T98" s="59"/>
      <c r="U98" s="59"/>
    </row>
    <row r="99" spans="1:21">
      <c r="A99" s="131" t="str">
        <f t="shared" si="9"/>
        <v>SUR-POSTPAGO</v>
      </c>
      <c r="B99" s="170" t="str">
        <f t="shared" si="10"/>
        <v>SUR</v>
      </c>
      <c r="C99" s="170" t="s">
        <v>183</v>
      </c>
      <c r="D99" s="170" t="s">
        <v>84</v>
      </c>
      <c r="E99" s="314">
        <v>3900</v>
      </c>
      <c r="F99" s="314">
        <v>3800</v>
      </c>
      <c r="G99" s="314">
        <v>4000</v>
      </c>
      <c r="H99" s="314">
        <v>4000</v>
      </c>
      <c r="I99" s="314">
        <v>3800</v>
      </c>
      <c r="J99" s="314">
        <v>3400</v>
      </c>
      <c r="K99" s="314">
        <v>3600</v>
      </c>
      <c r="L99" s="314">
        <v>3500</v>
      </c>
      <c r="M99" s="314">
        <v>3400</v>
      </c>
      <c r="N99" s="314">
        <v>4000</v>
      </c>
      <c r="O99" s="314">
        <v>3700</v>
      </c>
      <c r="P99" s="314">
        <v>3400</v>
      </c>
      <c r="Q99" s="59"/>
      <c r="R99" s="59"/>
      <c r="S99" s="243"/>
      <c r="T99" s="59"/>
      <c r="U99" s="59"/>
    </row>
    <row r="100" spans="1:21">
      <c r="A100" s="131" t="str">
        <f t="shared" si="9"/>
        <v>CENTRO-POSTPAGO</v>
      </c>
      <c r="B100" s="170" t="str">
        <f t="shared" si="10"/>
        <v>CENTRO</v>
      </c>
      <c r="C100" s="170" t="s">
        <v>183</v>
      </c>
      <c r="D100" s="170" t="s">
        <v>85</v>
      </c>
      <c r="E100" s="314">
        <v>590</v>
      </c>
      <c r="F100" s="314">
        <v>600</v>
      </c>
      <c r="G100" s="314">
        <v>630</v>
      </c>
      <c r="H100" s="314">
        <v>650</v>
      </c>
      <c r="I100" s="314">
        <v>640</v>
      </c>
      <c r="J100" s="314">
        <v>580</v>
      </c>
      <c r="K100" s="314">
        <v>650</v>
      </c>
      <c r="L100" s="314">
        <v>560</v>
      </c>
      <c r="M100" s="314">
        <v>590</v>
      </c>
      <c r="N100" s="314">
        <v>620</v>
      </c>
      <c r="O100" s="314">
        <v>620</v>
      </c>
      <c r="P100" s="314">
        <v>560</v>
      </c>
      <c r="Q100" s="59"/>
      <c r="R100" s="59"/>
      <c r="S100" s="243"/>
      <c r="T100" s="59"/>
      <c r="U100" s="59"/>
    </row>
    <row r="101" spans="1:21">
      <c r="A101" s="131" t="str">
        <f t="shared" si="9"/>
        <v>NORTE-POSTPAGO</v>
      </c>
      <c r="B101" s="170" t="str">
        <f t="shared" si="10"/>
        <v>NORTE</v>
      </c>
      <c r="C101" s="170" t="s">
        <v>183</v>
      </c>
      <c r="D101" s="170" t="s">
        <v>86</v>
      </c>
      <c r="E101" s="314">
        <v>9600</v>
      </c>
      <c r="F101" s="314">
        <v>9800</v>
      </c>
      <c r="G101" s="314">
        <v>9300</v>
      </c>
      <c r="H101" s="314">
        <v>9300</v>
      </c>
      <c r="I101" s="314">
        <v>11000</v>
      </c>
      <c r="J101" s="314">
        <v>10300</v>
      </c>
      <c r="K101" s="314">
        <v>10900</v>
      </c>
      <c r="L101" s="314">
        <v>10400</v>
      </c>
      <c r="M101" s="314">
        <v>10100</v>
      </c>
      <c r="N101" s="314">
        <v>10800</v>
      </c>
      <c r="O101" s="314">
        <v>10000</v>
      </c>
      <c r="P101" s="314">
        <v>10900</v>
      </c>
      <c r="Q101" s="59"/>
      <c r="R101" s="59"/>
      <c r="S101" s="243"/>
      <c r="T101" s="59"/>
      <c r="U101" s="59"/>
    </row>
    <row r="102" spans="1:21">
      <c r="A102" s="131" t="str">
        <f t="shared" si="9"/>
        <v>SUR-POSTPAGO</v>
      </c>
      <c r="B102" s="170" t="str">
        <f t="shared" si="10"/>
        <v>SUR</v>
      </c>
      <c r="C102" s="170" t="s">
        <v>183</v>
      </c>
      <c r="D102" s="170" t="s">
        <v>178</v>
      </c>
      <c r="E102" s="314">
        <v>8500</v>
      </c>
      <c r="F102" s="314">
        <v>8700</v>
      </c>
      <c r="G102" s="314">
        <v>8600</v>
      </c>
      <c r="H102" s="314">
        <v>8300</v>
      </c>
      <c r="I102" s="314">
        <v>8700</v>
      </c>
      <c r="J102" s="314">
        <v>8300</v>
      </c>
      <c r="K102" s="314">
        <v>8600</v>
      </c>
      <c r="L102" s="314">
        <v>8400</v>
      </c>
      <c r="M102" s="314">
        <v>8600</v>
      </c>
      <c r="N102" s="314">
        <v>8300</v>
      </c>
      <c r="O102" s="314">
        <v>8700</v>
      </c>
      <c r="P102" s="314">
        <v>8700</v>
      </c>
      <c r="Q102" s="59"/>
      <c r="R102" s="59"/>
      <c r="S102" s="243"/>
      <c r="T102" s="59"/>
      <c r="U102" s="59"/>
    </row>
    <row r="103" spans="1:21">
      <c r="A103" s="131" t="str">
        <f t="shared" si="9"/>
        <v>NORTE-POSTPAGO</v>
      </c>
      <c r="B103" s="170" t="str">
        <f t="shared" si="10"/>
        <v>NORTE</v>
      </c>
      <c r="C103" s="170" t="s">
        <v>183</v>
      </c>
      <c r="D103" s="170" t="s">
        <v>87</v>
      </c>
      <c r="E103" s="314">
        <v>2800</v>
      </c>
      <c r="F103" s="314">
        <v>2600</v>
      </c>
      <c r="G103" s="314">
        <v>3000</v>
      </c>
      <c r="H103" s="314">
        <v>2500</v>
      </c>
      <c r="I103" s="314">
        <v>2900</v>
      </c>
      <c r="J103" s="314">
        <v>2500</v>
      </c>
      <c r="K103" s="314">
        <v>2800</v>
      </c>
      <c r="L103" s="314">
        <v>2700</v>
      </c>
      <c r="M103" s="314">
        <v>2800</v>
      </c>
      <c r="N103" s="314">
        <v>2900</v>
      </c>
      <c r="O103" s="314">
        <v>2700</v>
      </c>
      <c r="P103" s="314">
        <v>2800</v>
      </c>
      <c r="Q103" s="59"/>
      <c r="R103" s="59"/>
      <c r="S103" s="243"/>
      <c r="T103" s="59"/>
      <c r="U103" s="59"/>
    </row>
    <row r="104" spans="1:21">
      <c r="A104" s="131" t="str">
        <f t="shared" si="9"/>
        <v>SUR-POSTPAGO</v>
      </c>
      <c r="B104" s="170" t="str">
        <f t="shared" si="10"/>
        <v>SUR</v>
      </c>
      <c r="C104" s="170" t="s">
        <v>183</v>
      </c>
      <c r="D104" s="170" t="s">
        <v>88</v>
      </c>
      <c r="E104" s="314">
        <v>6300</v>
      </c>
      <c r="F104" s="314">
        <v>6300</v>
      </c>
      <c r="G104" s="314">
        <v>6200</v>
      </c>
      <c r="H104" s="314">
        <v>6500</v>
      </c>
      <c r="I104" s="314">
        <v>6600</v>
      </c>
      <c r="J104" s="314">
        <v>6600</v>
      </c>
      <c r="K104" s="314">
        <v>6600</v>
      </c>
      <c r="L104" s="314">
        <v>6400</v>
      </c>
      <c r="M104" s="314">
        <v>6400</v>
      </c>
      <c r="N104" s="314">
        <v>6500</v>
      </c>
      <c r="O104" s="314">
        <v>6600</v>
      </c>
      <c r="P104" s="314">
        <v>6200</v>
      </c>
      <c r="Q104" s="59"/>
      <c r="R104" s="59"/>
      <c r="S104" s="243"/>
      <c r="T104" s="59"/>
      <c r="U104" s="59"/>
    </row>
    <row r="105" spans="1:21">
      <c r="A105" s="131" t="str">
        <f t="shared" si="9"/>
        <v>NORTE-POSTPAGO</v>
      </c>
      <c r="B105" s="170" t="str">
        <f t="shared" si="10"/>
        <v>NORTE</v>
      </c>
      <c r="C105" s="170" t="s">
        <v>183</v>
      </c>
      <c r="D105" s="170" t="s">
        <v>179</v>
      </c>
      <c r="E105" s="314">
        <v>1160</v>
      </c>
      <c r="F105" s="314">
        <v>1140</v>
      </c>
      <c r="G105" s="314">
        <v>1130</v>
      </c>
      <c r="H105" s="314">
        <v>1170</v>
      </c>
      <c r="I105" s="314">
        <v>1050</v>
      </c>
      <c r="J105" s="314">
        <v>1070</v>
      </c>
      <c r="K105" s="314">
        <v>1080</v>
      </c>
      <c r="L105" s="314">
        <v>1180</v>
      </c>
      <c r="M105" s="314">
        <v>1110</v>
      </c>
      <c r="N105" s="314">
        <v>1150</v>
      </c>
      <c r="O105" s="314">
        <v>1100</v>
      </c>
      <c r="P105" s="314">
        <v>1150</v>
      </c>
      <c r="Q105" s="59"/>
      <c r="R105" s="59"/>
      <c r="S105" s="243"/>
      <c r="T105" s="59"/>
      <c r="U105" s="59"/>
    </row>
    <row r="106" spans="1:21">
      <c r="A106" s="131" t="str">
        <f t="shared" si="9"/>
        <v>CENTRO-POSTPAGO</v>
      </c>
      <c r="B106" s="170" t="str">
        <f t="shared" si="10"/>
        <v>CENTRO</v>
      </c>
      <c r="C106" s="170" t="s">
        <v>183</v>
      </c>
      <c r="D106" s="170" t="s">
        <v>89</v>
      </c>
      <c r="E106" s="314">
        <v>3300</v>
      </c>
      <c r="F106" s="314">
        <v>3300</v>
      </c>
      <c r="G106" s="314">
        <v>3400</v>
      </c>
      <c r="H106" s="314">
        <v>3400</v>
      </c>
      <c r="I106" s="314">
        <v>3200</v>
      </c>
      <c r="J106" s="314">
        <v>3300</v>
      </c>
      <c r="K106" s="314">
        <v>3200</v>
      </c>
      <c r="L106" s="314">
        <v>3400</v>
      </c>
      <c r="M106" s="314">
        <v>3200</v>
      </c>
      <c r="N106" s="314">
        <v>3200</v>
      </c>
      <c r="O106" s="314">
        <v>3400</v>
      </c>
      <c r="P106" s="314">
        <v>3200</v>
      </c>
      <c r="Q106" s="59"/>
      <c r="R106" s="59"/>
      <c r="S106" s="243"/>
      <c r="T106" s="59"/>
      <c r="U106" s="59"/>
    </row>
    <row r="107" spans="1:21">
      <c r="A107" s="131" t="str">
        <f t="shared" si="9"/>
        <v>NORTE-PREPAGO</v>
      </c>
      <c r="B107" s="170" t="str">
        <f t="shared" si="10"/>
        <v>NORTE</v>
      </c>
      <c r="C107" s="170" t="s">
        <v>49</v>
      </c>
      <c r="D107" s="170" t="s">
        <v>72</v>
      </c>
      <c r="E107" s="314">
        <v>17000</v>
      </c>
      <c r="F107" s="314">
        <v>20000</v>
      </c>
      <c r="G107" s="314">
        <v>19000</v>
      </c>
      <c r="H107" s="314">
        <v>17000</v>
      </c>
      <c r="I107" s="314">
        <v>19000</v>
      </c>
      <c r="J107" s="314">
        <v>16000</v>
      </c>
      <c r="K107" s="314">
        <v>17000</v>
      </c>
      <c r="L107" s="314">
        <v>17000</v>
      </c>
      <c r="M107" s="314">
        <v>17000</v>
      </c>
      <c r="N107" s="314">
        <v>18000</v>
      </c>
      <c r="O107" s="314">
        <v>19000</v>
      </c>
      <c r="P107" s="314">
        <v>19000</v>
      </c>
      <c r="Q107" s="59"/>
      <c r="R107" s="59"/>
      <c r="S107" s="243"/>
      <c r="T107" s="59"/>
      <c r="U107" s="59"/>
    </row>
    <row r="108" spans="1:21">
      <c r="A108" s="131" t="str">
        <f t="shared" si="9"/>
        <v>NORTE-PREPAGO</v>
      </c>
      <c r="B108" s="170" t="str">
        <f t="shared" si="10"/>
        <v>NORTE</v>
      </c>
      <c r="C108" s="170" t="s">
        <v>49</v>
      </c>
      <c r="D108" s="170" t="s">
        <v>73</v>
      </c>
      <c r="E108" s="314">
        <v>115000</v>
      </c>
      <c r="F108" s="314">
        <v>111000</v>
      </c>
      <c r="G108" s="314">
        <v>111000</v>
      </c>
      <c r="H108" s="314">
        <v>113000</v>
      </c>
      <c r="I108" s="314">
        <v>115000</v>
      </c>
      <c r="J108" s="314">
        <v>115000</v>
      </c>
      <c r="K108" s="314">
        <v>112000</v>
      </c>
      <c r="L108" s="314">
        <v>112000</v>
      </c>
      <c r="M108" s="314">
        <v>117000</v>
      </c>
      <c r="N108" s="314">
        <v>115000</v>
      </c>
      <c r="O108" s="314">
        <v>116000</v>
      </c>
      <c r="P108" s="314">
        <v>114000</v>
      </c>
      <c r="Q108" s="59"/>
      <c r="R108" s="59"/>
      <c r="S108" s="243"/>
      <c r="T108" s="59"/>
      <c r="U108" s="59"/>
    </row>
    <row r="109" spans="1:21">
      <c r="A109" s="131" t="str">
        <f t="shared" si="9"/>
        <v>SUR-PREPAGO</v>
      </c>
      <c r="B109" s="170" t="str">
        <f t="shared" si="10"/>
        <v>SUR</v>
      </c>
      <c r="C109" s="170" t="s">
        <v>49</v>
      </c>
      <c r="D109" s="170" t="s">
        <v>175</v>
      </c>
      <c r="E109" s="314">
        <v>40000</v>
      </c>
      <c r="F109" s="314">
        <v>41000</v>
      </c>
      <c r="G109" s="314">
        <v>37000</v>
      </c>
      <c r="H109" s="314">
        <v>39000</v>
      </c>
      <c r="I109" s="314">
        <v>38000</v>
      </c>
      <c r="J109" s="314">
        <v>43000</v>
      </c>
      <c r="K109" s="314">
        <v>40000</v>
      </c>
      <c r="L109" s="314">
        <v>35000</v>
      </c>
      <c r="M109" s="314">
        <v>40000</v>
      </c>
      <c r="N109" s="314">
        <v>37000</v>
      </c>
      <c r="O109" s="314">
        <v>36000</v>
      </c>
      <c r="P109" s="314">
        <v>46000</v>
      </c>
      <c r="Q109" s="59"/>
      <c r="R109" s="59"/>
      <c r="S109" s="243"/>
      <c r="T109" s="59"/>
      <c r="U109" s="59"/>
    </row>
    <row r="110" spans="1:21">
      <c r="A110" s="131" t="str">
        <f t="shared" si="9"/>
        <v>SUR-PREPAGO</v>
      </c>
      <c r="B110" s="170" t="str">
        <f t="shared" si="10"/>
        <v>SUR</v>
      </c>
      <c r="C110" s="170" t="s">
        <v>49</v>
      </c>
      <c r="D110" s="170" t="s">
        <v>74</v>
      </c>
      <c r="E110" s="314">
        <v>380000</v>
      </c>
      <c r="F110" s="314">
        <v>390000</v>
      </c>
      <c r="G110" s="314">
        <v>380000</v>
      </c>
      <c r="H110" s="314">
        <v>400000</v>
      </c>
      <c r="I110" s="314">
        <v>370000</v>
      </c>
      <c r="J110" s="314">
        <v>370000</v>
      </c>
      <c r="K110" s="314">
        <v>380000</v>
      </c>
      <c r="L110" s="314">
        <v>380000</v>
      </c>
      <c r="M110" s="314">
        <v>370000</v>
      </c>
      <c r="N110" s="314">
        <v>390000</v>
      </c>
      <c r="O110" s="314">
        <v>390000</v>
      </c>
      <c r="P110" s="314">
        <v>360000</v>
      </c>
      <c r="Q110" s="59"/>
      <c r="R110" s="59"/>
      <c r="S110" s="243"/>
      <c r="T110" s="59"/>
      <c r="U110" s="59"/>
    </row>
    <row r="111" spans="1:21">
      <c r="A111" s="131" t="str">
        <f t="shared" si="9"/>
        <v>CENTRO-PREPAGO</v>
      </c>
      <c r="B111" s="170" t="str">
        <f t="shared" si="10"/>
        <v>CENTRO</v>
      </c>
      <c r="C111" s="170" t="s">
        <v>49</v>
      </c>
      <c r="D111" s="170" t="s">
        <v>75</v>
      </c>
      <c r="E111" s="314">
        <v>107000</v>
      </c>
      <c r="F111" s="314">
        <v>105000</v>
      </c>
      <c r="G111" s="314">
        <v>107000</v>
      </c>
      <c r="H111" s="314">
        <v>106000</v>
      </c>
      <c r="I111" s="314">
        <v>106000</v>
      </c>
      <c r="J111" s="314">
        <v>106000</v>
      </c>
      <c r="K111" s="314">
        <v>110000</v>
      </c>
      <c r="L111" s="314">
        <v>109000</v>
      </c>
      <c r="M111" s="314">
        <v>108000</v>
      </c>
      <c r="N111" s="314">
        <v>105000</v>
      </c>
      <c r="O111" s="314">
        <v>111000</v>
      </c>
      <c r="P111" s="314">
        <v>107000</v>
      </c>
      <c r="Q111" s="59"/>
      <c r="R111" s="59"/>
      <c r="S111" s="243"/>
      <c r="T111" s="59"/>
      <c r="U111" s="59"/>
    </row>
    <row r="112" spans="1:21">
      <c r="A112" s="131" t="str">
        <f t="shared" si="9"/>
        <v>NORTE-PREPAGO</v>
      </c>
      <c r="B112" s="170" t="str">
        <f t="shared" si="10"/>
        <v>NORTE</v>
      </c>
      <c r="C112" s="170" t="s">
        <v>49</v>
      </c>
      <c r="D112" s="170" t="s">
        <v>76</v>
      </c>
      <c r="E112" s="314">
        <v>52000</v>
      </c>
      <c r="F112" s="314">
        <v>53000</v>
      </c>
      <c r="G112" s="314">
        <v>50000</v>
      </c>
      <c r="H112" s="314">
        <v>52000</v>
      </c>
      <c r="I112" s="314">
        <v>45000</v>
      </c>
      <c r="J112" s="314">
        <v>47000</v>
      </c>
      <c r="K112" s="314">
        <v>45000</v>
      </c>
      <c r="L112" s="314">
        <v>51000</v>
      </c>
      <c r="M112" s="314">
        <v>45000</v>
      </c>
      <c r="N112" s="314">
        <v>50000</v>
      </c>
      <c r="O112" s="314">
        <v>45000</v>
      </c>
      <c r="P112" s="314">
        <v>47000</v>
      </c>
      <c r="Q112" s="59"/>
      <c r="R112" s="59"/>
      <c r="S112" s="243"/>
      <c r="T112" s="59"/>
      <c r="U112" s="59"/>
    </row>
    <row r="113" spans="1:21">
      <c r="A113" s="131" t="str">
        <f t="shared" si="9"/>
        <v>SUR-PREPAGO</v>
      </c>
      <c r="B113" s="170" t="str">
        <f t="shared" si="10"/>
        <v>SUR</v>
      </c>
      <c r="C113" s="170" t="s">
        <v>49</v>
      </c>
      <c r="D113" s="170" t="s">
        <v>176</v>
      </c>
      <c r="E113" s="314">
        <v>360000</v>
      </c>
      <c r="F113" s="314">
        <v>340000</v>
      </c>
      <c r="G113" s="314">
        <v>330000</v>
      </c>
      <c r="H113" s="314">
        <v>380000</v>
      </c>
      <c r="I113" s="314">
        <v>370000</v>
      </c>
      <c r="J113" s="314">
        <v>350000</v>
      </c>
      <c r="K113" s="314">
        <v>370000</v>
      </c>
      <c r="L113" s="314">
        <v>370000</v>
      </c>
      <c r="M113" s="314">
        <v>370000</v>
      </c>
      <c r="N113" s="314">
        <v>360000</v>
      </c>
      <c r="O113" s="314">
        <v>340000</v>
      </c>
      <c r="P113" s="314">
        <v>370000</v>
      </c>
      <c r="Q113" s="59"/>
      <c r="R113" s="59"/>
      <c r="S113" s="243"/>
      <c r="T113" s="59"/>
      <c r="U113" s="59"/>
    </row>
    <row r="114" spans="1:21">
      <c r="A114" s="131" t="str">
        <f t="shared" si="9"/>
        <v>CENTRO-PREPAGO</v>
      </c>
      <c r="B114" s="170" t="str">
        <f t="shared" si="10"/>
        <v>CENTRO</v>
      </c>
      <c r="C114" s="170" t="s">
        <v>49</v>
      </c>
      <c r="D114" s="170" t="s">
        <v>77</v>
      </c>
      <c r="E114" s="314">
        <v>23000</v>
      </c>
      <c r="F114" s="314">
        <v>24000</v>
      </c>
      <c r="G114" s="314">
        <v>29000</v>
      </c>
      <c r="H114" s="314">
        <v>24000</v>
      </c>
      <c r="I114" s="314">
        <v>24000</v>
      </c>
      <c r="J114" s="314">
        <v>23000</v>
      </c>
      <c r="K114" s="314">
        <v>23000</v>
      </c>
      <c r="L114" s="314">
        <v>25000</v>
      </c>
      <c r="M114" s="314">
        <v>27000</v>
      </c>
      <c r="N114" s="314">
        <v>24000</v>
      </c>
      <c r="O114" s="314">
        <v>29000</v>
      </c>
      <c r="P114" s="314">
        <v>25000</v>
      </c>
      <c r="Q114" s="59"/>
      <c r="R114" s="59"/>
      <c r="S114" s="243"/>
      <c r="T114" s="59"/>
      <c r="U114" s="59"/>
    </row>
    <row r="115" spans="1:21">
      <c r="A115" s="131" t="str">
        <f t="shared" si="9"/>
        <v>CENTRO-PREPAGO</v>
      </c>
      <c r="B115" s="170" t="str">
        <f t="shared" si="10"/>
        <v>CENTRO</v>
      </c>
      <c r="C115" s="170" t="s">
        <v>49</v>
      </c>
      <c r="D115" s="170" t="s">
        <v>78</v>
      </c>
      <c r="E115" s="314">
        <v>82000</v>
      </c>
      <c r="F115" s="314">
        <v>81000</v>
      </c>
      <c r="G115" s="314">
        <v>84000</v>
      </c>
      <c r="H115" s="314">
        <v>82000</v>
      </c>
      <c r="I115" s="314">
        <v>83000</v>
      </c>
      <c r="J115" s="314">
        <v>87000</v>
      </c>
      <c r="K115" s="314">
        <v>78000</v>
      </c>
      <c r="L115" s="314">
        <v>88000</v>
      </c>
      <c r="M115" s="314">
        <v>76000</v>
      </c>
      <c r="N115" s="314">
        <v>89000</v>
      </c>
      <c r="O115" s="314">
        <v>83000</v>
      </c>
      <c r="P115" s="314">
        <v>76000</v>
      </c>
      <c r="Q115" s="59"/>
      <c r="R115" s="59"/>
      <c r="S115" s="243"/>
      <c r="T115" s="59"/>
      <c r="U115" s="59"/>
    </row>
    <row r="116" spans="1:21">
      <c r="A116" s="131" t="str">
        <f t="shared" si="9"/>
        <v>CENTRO-PREPAGO</v>
      </c>
      <c r="B116" s="170" t="str">
        <f t="shared" si="10"/>
        <v>CENTRO</v>
      </c>
      <c r="C116" s="170" t="s">
        <v>49</v>
      </c>
      <c r="D116" s="170" t="s">
        <v>79</v>
      </c>
      <c r="E116" s="314">
        <v>133000</v>
      </c>
      <c r="F116" s="314">
        <v>137000</v>
      </c>
      <c r="G116" s="314">
        <v>137000</v>
      </c>
      <c r="H116" s="314">
        <v>136000</v>
      </c>
      <c r="I116" s="314">
        <v>137000</v>
      </c>
      <c r="J116" s="314">
        <v>136000</v>
      </c>
      <c r="K116" s="314">
        <v>133000</v>
      </c>
      <c r="L116" s="314">
        <v>136000</v>
      </c>
      <c r="M116" s="314">
        <v>135000</v>
      </c>
      <c r="N116" s="314">
        <v>137000</v>
      </c>
      <c r="O116" s="314">
        <v>135000</v>
      </c>
      <c r="P116" s="314">
        <v>134000</v>
      </c>
      <c r="Q116" s="59"/>
      <c r="R116" s="59"/>
      <c r="S116" s="243"/>
      <c r="T116" s="59"/>
      <c r="U116" s="59"/>
    </row>
    <row r="117" spans="1:21">
      <c r="A117" s="131" t="str">
        <f t="shared" si="9"/>
        <v>CENTRO-PREPAGO</v>
      </c>
      <c r="B117" s="170" t="str">
        <f t="shared" si="10"/>
        <v>CENTRO</v>
      </c>
      <c r="C117" s="170" t="s">
        <v>49</v>
      </c>
      <c r="D117" s="170" t="s">
        <v>80</v>
      </c>
      <c r="E117" s="314">
        <v>160000</v>
      </c>
      <c r="F117" s="314">
        <v>170000</v>
      </c>
      <c r="G117" s="314">
        <v>170000</v>
      </c>
      <c r="H117" s="314">
        <v>170000</v>
      </c>
      <c r="I117" s="314">
        <v>170000</v>
      </c>
      <c r="J117" s="314">
        <v>180000</v>
      </c>
      <c r="K117" s="314">
        <v>200000</v>
      </c>
      <c r="L117" s="314">
        <v>190000</v>
      </c>
      <c r="M117" s="314">
        <v>170000</v>
      </c>
      <c r="N117" s="314">
        <v>160000</v>
      </c>
      <c r="O117" s="314">
        <v>180000</v>
      </c>
      <c r="P117" s="314">
        <v>160000</v>
      </c>
      <c r="Q117" s="59"/>
      <c r="R117" s="59"/>
      <c r="S117" s="243"/>
      <c r="T117" s="59"/>
      <c r="U117" s="59"/>
    </row>
    <row r="118" spans="1:21">
      <c r="A118" s="131" t="str">
        <f t="shared" si="9"/>
        <v>NORTE-PREPAGO</v>
      </c>
      <c r="B118" s="170" t="str">
        <f t="shared" si="10"/>
        <v>NORTE</v>
      </c>
      <c r="C118" s="170" t="s">
        <v>49</v>
      </c>
      <c r="D118" s="170" t="s">
        <v>177</v>
      </c>
      <c r="E118" s="314">
        <v>330000</v>
      </c>
      <c r="F118" s="314">
        <v>330000</v>
      </c>
      <c r="G118" s="314">
        <v>340000</v>
      </c>
      <c r="H118" s="314">
        <v>320000</v>
      </c>
      <c r="I118" s="314">
        <v>330000</v>
      </c>
      <c r="J118" s="314">
        <v>320000</v>
      </c>
      <c r="K118" s="314">
        <v>340000</v>
      </c>
      <c r="L118" s="314">
        <v>320000</v>
      </c>
      <c r="M118" s="314">
        <v>340000</v>
      </c>
      <c r="N118" s="314">
        <v>340000</v>
      </c>
      <c r="O118" s="314">
        <v>340000</v>
      </c>
      <c r="P118" s="314">
        <v>330000</v>
      </c>
      <c r="Q118" s="59"/>
      <c r="R118" s="59"/>
      <c r="S118" s="243"/>
      <c r="T118" s="59"/>
      <c r="U118" s="59"/>
    </row>
    <row r="119" spans="1:21">
      <c r="A119" s="131" t="str">
        <f t="shared" si="9"/>
        <v>NORTE-PREPAGO</v>
      </c>
      <c r="B119" s="170" t="str">
        <f t="shared" si="10"/>
        <v>NORTE</v>
      </c>
      <c r="C119" s="170" t="s">
        <v>49</v>
      </c>
      <c r="D119" s="170" t="s">
        <v>81</v>
      </c>
      <c r="E119" s="314">
        <v>155000</v>
      </c>
      <c r="F119" s="314">
        <v>144000</v>
      </c>
      <c r="G119" s="314">
        <v>152000</v>
      </c>
      <c r="H119" s="314">
        <v>153000</v>
      </c>
      <c r="I119" s="314">
        <v>147000</v>
      </c>
      <c r="J119" s="314">
        <v>146000</v>
      </c>
      <c r="K119" s="314">
        <v>148000</v>
      </c>
      <c r="L119" s="314">
        <v>149000</v>
      </c>
      <c r="M119" s="314">
        <v>149000</v>
      </c>
      <c r="N119" s="314">
        <v>147000</v>
      </c>
      <c r="O119" s="314">
        <v>155000</v>
      </c>
      <c r="P119" s="314">
        <v>150000</v>
      </c>
      <c r="Q119" s="59"/>
      <c r="R119" s="59"/>
      <c r="S119" s="243"/>
      <c r="T119" s="59"/>
      <c r="U119" s="59"/>
    </row>
    <row r="120" spans="1:21">
      <c r="A120" s="131" t="str">
        <f t="shared" si="9"/>
        <v>CENTRO-PREPAGO</v>
      </c>
      <c r="B120" s="170" t="str">
        <f t="shared" si="10"/>
        <v>CENTRO</v>
      </c>
      <c r="C120" s="170" t="s">
        <v>49</v>
      </c>
      <c r="D120" s="170" t="s">
        <v>24</v>
      </c>
      <c r="E120" s="314">
        <v>4140000</v>
      </c>
      <c r="F120" s="314">
        <v>4240000</v>
      </c>
      <c r="G120" s="314">
        <v>4240000</v>
      </c>
      <c r="H120" s="314">
        <v>4180000</v>
      </c>
      <c r="I120" s="314">
        <v>4260000</v>
      </c>
      <c r="J120" s="314">
        <v>4190000</v>
      </c>
      <c r="K120" s="314">
        <v>4260000</v>
      </c>
      <c r="L120" s="314">
        <v>4160000</v>
      </c>
      <c r="M120" s="314">
        <v>4120000</v>
      </c>
      <c r="N120" s="314">
        <v>4250000</v>
      </c>
      <c r="O120" s="314">
        <v>4190000</v>
      </c>
      <c r="P120" s="314">
        <v>4260000</v>
      </c>
      <c r="Q120" s="59"/>
      <c r="R120" s="59"/>
      <c r="S120" s="243"/>
      <c r="T120" s="59"/>
      <c r="U120" s="59"/>
    </row>
    <row r="121" spans="1:21">
      <c r="A121" s="131" t="str">
        <f t="shared" si="9"/>
        <v>CENTRO-PREPAGO</v>
      </c>
      <c r="B121" s="170" t="str">
        <f t="shared" si="10"/>
        <v>CENTRO</v>
      </c>
      <c r="C121" s="170" t="s">
        <v>49</v>
      </c>
      <c r="D121" s="170" t="s">
        <v>82</v>
      </c>
      <c r="E121" s="314">
        <v>76000</v>
      </c>
      <c r="F121" s="314">
        <v>77000</v>
      </c>
      <c r="G121" s="314">
        <v>76000</v>
      </c>
      <c r="H121" s="314">
        <v>77000</v>
      </c>
      <c r="I121" s="314">
        <v>78000</v>
      </c>
      <c r="J121" s="314">
        <v>80000</v>
      </c>
      <c r="K121" s="314">
        <v>79000</v>
      </c>
      <c r="L121" s="314">
        <v>78000</v>
      </c>
      <c r="M121" s="314">
        <v>78000</v>
      </c>
      <c r="N121" s="314">
        <v>80000</v>
      </c>
      <c r="O121" s="314">
        <v>80000</v>
      </c>
      <c r="P121" s="314">
        <v>80000</v>
      </c>
      <c r="Q121" s="59"/>
      <c r="R121" s="59"/>
      <c r="S121" s="243"/>
      <c r="T121" s="59"/>
      <c r="U121" s="59"/>
    </row>
    <row r="122" spans="1:21">
      <c r="A122" s="131" t="str">
        <f t="shared" si="9"/>
        <v>CENTRO-PREPAGO</v>
      </c>
      <c r="B122" s="170" t="str">
        <f t="shared" si="10"/>
        <v>CENTRO</v>
      </c>
      <c r="C122" s="170" t="s">
        <v>49</v>
      </c>
      <c r="D122" s="170" t="s">
        <v>83</v>
      </c>
      <c r="E122" s="314">
        <v>69000</v>
      </c>
      <c r="F122" s="314">
        <v>72000</v>
      </c>
      <c r="G122" s="314">
        <v>69000</v>
      </c>
      <c r="H122" s="314">
        <v>67000</v>
      </c>
      <c r="I122" s="314">
        <v>74000</v>
      </c>
      <c r="J122" s="314">
        <v>68000</v>
      </c>
      <c r="K122" s="314">
        <v>77000</v>
      </c>
      <c r="L122" s="314">
        <v>75000</v>
      </c>
      <c r="M122" s="314">
        <v>73000</v>
      </c>
      <c r="N122" s="314">
        <v>69000</v>
      </c>
      <c r="O122" s="314">
        <v>68000</v>
      </c>
      <c r="P122" s="314">
        <v>77000</v>
      </c>
      <c r="Q122" s="59"/>
      <c r="R122" s="59"/>
      <c r="S122" s="243"/>
      <c r="T122" s="59"/>
      <c r="U122" s="59"/>
    </row>
    <row r="123" spans="1:21">
      <c r="A123" s="131" t="str">
        <f t="shared" si="9"/>
        <v>SUR-PREPAGO</v>
      </c>
      <c r="B123" s="170" t="str">
        <f t="shared" si="10"/>
        <v>SUR</v>
      </c>
      <c r="C123" s="170" t="s">
        <v>49</v>
      </c>
      <c r="D123" s="170" t="s">
        <v>84</v>
      </c>
      <c r="E123" s="314">
        <v>30000</v>
      </c>
      <c r="F123" s="314">
        <v>31000</v>
      </c>
      <c r="G123" s="314">
        <v>31000</v>
      </c>
      <c r="H123" s="314">
        <v>31000</v>
      </c>
      <c r="I123" s="314">
        <v>30000</v>
      </c>
      <c r="J123" s="314">
        <v>31000</v>
      </c>
      <c r="K123" s="314">
        <v>32000</v>
      </c>
      <c r="L123" s="314">
        <v>31000</v>
      </c>
      <c r="M123" s="314">
        <v>30000</v>
      </c>
      <c r="N123" s="314">
        <v>32000</v>
      </c>
      <c r="O123" s="314">
        <v>31000</v>
      </c>
      <c r="P123" s="314">
        <v>31000</v>
      </c>
      <c r="Q123" s="59"/>
      <c r="R123" s="59"/>
      <c r="S123" s="243"/>
      <c r="T123" s="59"/>
      <c r="U123" s="59"/>
    </row>
    <row r="124" spans="1:21">
      <c r="A124" s="131" t="str">
        <f t="shared" ref="A124:A130" si="11">+B124&amp;"-"&amp;C124</f>
        <v>CENTRO-PREPAGO</v>
      </c>
      <c r="B124" s="170" t="str">
        <f t="shared" ref="B124:B130" si="12">VLOOKUP(D124,$B$30:$C$53,2,FALSE)</f>
        <v>CENTRO</v>
      </c>
      <c r="C124" s="170" t="s">
        <v>49</v>
      </c>
      <c r="D124" s="170" t="s">
        <v>85</v>
      </c>
      <c r="E124" s="314">
        <v>20000</v>
      </c>
      <c r="F124" s="314">
        <v>20000</v>
      </c>
      <c r="G124" s="314">
        <v>20000</v>
      </c>
      <c r="H124" s="314">
        <v>18000</v>
      </c>
      <c r="I124" s="314">
        <v>21000</v>
      </c>
      <c r="J124" s="314">
        <v>20000</v>
      </c>
      <c r="K124" s="314">
        <v>22000</v>
      </c>
      <c r="L124" s="314">
        <v>22000</v>
      </c>
      <c r="M124" s="314">
        <v>19000</v>
      </c>
      <c r="N124" s="314">
        <v>21000</v>
      </c>
      <c r="O124" s="314">
        <v>21000</v>
      </c>
      <c r="P124" s="314">
        <v>21000</v>
      </c>
      <c r="Q124" s="59"/>
      <c r="R124" s="59"/>
      <c r="S124" s="243"/>
      <c r="T124" s="59"/>
      <c r="U124" s="59"/>
    </row>
    <row r="125" spans="1:21">
      <c r="A125" s="131" t="str">
        <f t="shared" si="11"/>
        <v>NORTE-PREPAGO</v>
      </c>
      <c r="B125" s="170" t="str">
        <f t="shared" si="12"/>
        <v>NORTE</v>
      </c>
      <c r="C125" s="170" t="s">
        <v>49</v>
      </c>
      <c r="D125" s="170" t="s">
        <v>86</v>
      </c>
      <c r="E125" s="314">
        <v>131000</v>
      </c>
      <c r="F125" s="314">
        <v>130000</v>
      </c>
      <c r="G125" s="314">
        <v>124000</v>
      </c>
      <c r="H125" s="314">
        <v>124000</v>
      </c>
      <c r="I125" s="314">
        <v>136000</v>
      </c>
      <c r="J125" s="314">
        <v>126000</v>
      </c>
      <c r="K125" s="314">
        <v>128000</v>
      </c>
      <c r="L125" s="314">
        <v>133000</v>
      </c>
      <c r="M125" s="314">
        <v>132000</v>
      </c>
      <c r="N125" s="314">
        <v>133000</v>
      </c>
      <c r="O125" s="314">
        <v>136000</v>
      </c>
      <c r="P125" s="314">
        <v>129000</v>
      </c>
      <c r="Q125" s="59"/>
      <c r="R125" s="59"/>
      <c r="S125" s="243"/>
      <c r="T125" s="59"/>
      <c r="U125" s="59"/>
    </row>
    <row r="126" spans="1:21">
      <c r="A126" s="131" t="str">
        <f t="shared" si="11"/>
        <v>SUR-PREPAGO</v>
      </c>
      <c r="B126" s="170" t="str">
        <f t="shared" si="12"/>
        <v>SUR</v>
      </c>
      <c r="C126" s="170" t="s">
        <v>49</v>
      </c>
      <c r="D126" s="170" t="s">
        <v>178</v>
      </c>
      <c r="E126" s="314">
        <v>240000</v>
      </c>
      <c r="F126" s="314">
        <v>250000</v>
      </c>
      <c r="G126" s="314">
        <v>210000</v>
      </c>
      <c r="H126" s="314">
        <v>250000</v>
      </c>
      <c r="I126" s="314">
        <v>230000</v>
      </c>
      <c r="J126" s="314">
        <v>240000</v>
      </c>
      <c r="K126" s="314">
        <v>250000</v>
      </c>
      <c r="L126" s="314">
        <v>250000</v>
      </c>
      <c r="M126" s="314">
        <v>230000</v>
      </c>
      <c r="N126" s="314">
        <v>230000</v>
      </c>
      <c r="O126" s="314">
        <v>240000</v>
      </c>
      <c r="P126" s="314">
        <v>240000</v>
      </c>
      <c r="Q126" s="59"/>
      <c r="R126" s="59"/>
      <c r="S126" s="243"/>
      <c r="T126" s="59"/>
      <c r="U126" s="59"/>
    </row>
    <row r="127" spans="1:21">
      <c r="A127" s="131" t="str">
        <f t="shared" si="11"/>
        <v>NORTE-PREPAGO</v>
      </c>
      <c r="B127" s="170" t="str">
        <f t="shared" si="12"/>
        <v>NORTE</v>
      </c>
      <c r="C127" s="170" t="s">
        <v>49</v>
      </c>
      <c r="D127" s="170" t="s">
        <v>87</v>
      </c>
      <c r="E127" s="314">
        <v>56000</v>
      </c>
      <c r="F127" s="314">
        <v>57000</v>
      </c>
      <c r="G127" s="314">
        <v>55000</v>
      </c>
      <c r="H127" s="314">
        <v>56000</v>
      </c>
      <c r="I127" s="314">
        <v>60000</v>
      </c>
      <c r="J127" s="314">
        <v>54000</v>
      </c>
      <c r="K127" s="314">
        <v>56000</v>
      </c>
      <c r="L127" s="314">
        <v>60000</v>
      </c>
      <c r="M127" s="314">
        <v>54000</v>
      </c>
      <c r="N127" s="314">
        <v>58000</v>
      </c>
      <c r="O127" s="314">
        <v>59000</v>
      </c>
      <c r="P127" s="314">
        <v>56000</v>
      </c>
      <c r="Q127" s="59"/>
      <c r="R127" s="59"/>
      <c r="S127" s="243"/>
      <c r="T127" s="59"/>
      <c r="U127" s="59"/>
    </row>
    <row r="128" spans="1:21">
      <c r="A128" s="131" t="str">
        <f t="shared" si="11"/>
        <v>SUR-PREPAGO</v>
      </c>
      <c r="B128" s="170" t="str">
        <f t="shared" si="12"/>
        <v>SUR</v>
      </c>
      <c r="C128" s="170" t="s">
        <v>49</v>
      </c>
      <c r="D128" s="170" t="s">
        <v>88</v>
      </c>
      <c r="E128" s="314">
        <v>51000</v>
      </c>
      <c r="F128" s="314">
        <v>53000</v>
      </c>
      <c r="G128" s="314">
        <v>51000</v>
      </c>
      <c r="H128" s="314">
        <v>51000</v>
      </c>
      <c r="I128" s="314">
        <v>51000</v>
      </c>
      <c r="J128" s="314">
        <v>51000</v>
      </c>
      <c r="K128" s="314">
        <v>52000</v>
      </c>
      <c r="L128" s="314">
        <v>52000</v>
      </c>
      <c r="M128" s="314">
        <v>52000</v>
      </c>
      <c r="N128" s="314">
        <v>51000</v>
      </c>
      <c r="O128" s="314">
        <v>53000</v>
      </c>
      <c r="P128" s="314">
        <v>52000</v>
      </c>
      <c r="Q128" s="59"/>
      <c r="R128" s="59"/>
      <c r="S128" s="243"/>
      <c r="T128" s="59"/>
      <c r="U128" s="59"/>
    </row>
    <row r="129" spans="1:21">
      <c r="A129" s="131" t="str">
        <f t="shared" si="11"/>
        <v>NORTE-PREPAGO</v>
      </c>
      <c r="B129" s="170" t="str">
        <f t="shared" si="12"/>
        <v>NORTE</v>
      </c>
      <c r="C129" s="170" t="s">
        <v>49</v>
      </c>
      <c r="D129" s="170" t="s">
        <v>179</v>
      </c>
      <c r="E129" s="314">
        <v>10500</v>
      </c>
      <c r="F129" s="314">
        <v>10800</v>
      </c>
      <c r="G129" s="314">
        <v>11400</v>
      </c>
      <c r="H129" s="314">
        <v>10900</v>
      </c>
      <c r="I129" s="314">
        <v>11500</v>
      </c>
      <c r="J129" s="314">
        <v>11300</v>
      </c>
      <c r="K129" s="314">
        <v>10600</v>
      </c>
      <c r="L129" s="314">
        <v>10700</v>
      </c>
      <c r="M129" s="314">
        <v>11500</v>
      </c>
      <c r="N129" s="314">
        <v>10500</v>
      </c>
      <c r="O129" s="314">
        <v>10600</v>
      </c>
      <c r="P129" s="314">
        <v>11300</v>
      </c>
      <c r="Q129" s="59"/>
      <c r="R129" s="59"/>
      <c r="S129" s="243"/>
      <c r="T129" s="59"/>
      <c r="U129" s="59"/>
    </row>
    <row r="130" spans="1:21">
      <c r="A130" s="131" t="str">
        <f t="shared" si="11"/>
        <v>CENTRO-PREPAGO</v>
      </c>
      <c r="B130" s="170" t="str">
        <f t="shared" si="12"/>
        <v>CENTRO</v>
      </c>
      <c r="C130" s="170" t="s">
        <v>49</v>
      </c>
      <c r="D130" s="170" t="s">
        <v>89</v>
      </c>
      <c r="E130" s="314">
        <v>41000</v>
      </c>
      <c r="F130" s="314">
        <v>40000</v>
      </c>
      <c r="G130" s="314">
        <v>42000</v>
      </c>
      <c r="H130" s="314">
        <v>39000</v>
      </c>
      <c r="I130" s="314">
        <v>41000</v>
      </c>
      <c r="J130" s="314">
        <v>41000</v>
      </c>
      <c r="K130" s="314">
        <v>40000</v>
      </c>
      <c r="L130" s="314">
        <v>39000</v>
      </c>
      <c r="M130" s="314">
        <v>39000</v>
      </c>
      <c r="N130" s="314">
        <v>39000</v>
      </c>
      <c r="O130" s="314">
        <v>40000</v>
      </c>
      <c r="P130" s="314">
        <v>41000</v>
      </c>
      <c r="Q130" s="59"/>
      <c r="R130" s="59"/>
      <c r="S130" s="243"/>
      <c r="T130" s="59"/>
      <c r="U130" s="59"/>
    </row>
    <row r="134" spans="1:21" ht="18.75">
      <c r="A134" s="130" t="s">
        <v>184</v>
      </c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</row>
    <row r="136" spans="1:21">
      <c r="A136" s="131"/>
      <c r="B136" s="168" t="s">
        <v>140</v>
      </c>
      <c r="C136" s="169" t="s">
        <v>181</v>
      </c>
      <c r="D136" s="169" t="s">
        <v>174</v>
      </c>
      <c r="E136" s="133">
        <v>39814</v>
      </c>
      <c r="F136" s="133">
        <v>39845</v>
      </c>
      <c r="G136" s="133">
        <v>39873</v>
      </c>
      <c r="H136" s="133">
        <v>39904</v>
      </c>
      <c r="I136" s="133">
        <v>39934</v>
      </c>
      <c r="J136" s="133">
        <v>39965</v>
      </c>
      <c r="K136" s="133">
        <v>39995</v>
      </c>
      <c r="L136" s="133">
        <v>40026</v>
      </c>
      <c r="M136" s="133">
        <v>40057</v>
      </c>
      <c r="N136" s="133">
        <v>40087</v>
      </c>
      <c r="O136" s="133">
        <v>40118</v>
      </c>
      <c r="P136" s="133">
        <v>40148</v>
      </c>
    </row>
    <row r="137" spans="1:21">
      <c r="A137" s="131" t="str">
        <f>+B137&amp;"-"&amp;C137</f>
        <v>NORTE-FIJA</v>
      </c>
      <c r="B137" s="170" t="str">
        <f>VLOOKUP(D137,$B$30:$C$53,2,FALSE)</f>
        <v>NORTE</v>
      </c>
      <c r="C137" s="171" t="s">
        <v>185</v>
      </c>
      <c r="D137" s="170" t="s">
        <v>72</v>
      </c>
      <c r="E137" s="314">
        <v>8000</v>
      </c>
      <c r="F137" s="314">
        <v>10000</v>
      </c>
      <c r="G137" s="314">
        <v>9000</v>
      </c>
      <c r="H137" s="314">
        <v>8000</v>
      </c>
      <c r="I137" s="314">
        <v>9000</v>
      </c>
      <c r="J137" s="314">
        <v>9000</v>
      </c>
      <c r="K137" s="314">
        <v>9000</v>
      </c>
      <c r="L137" s="314">
        <v>8000</v>
      </c>
      <c r="M137" s="314">
        <v>9000</v>
      </c>
      <c r="N137" s="314">
        <v>9000</v>
      </c>
      <c r="O137" s="314">
        <v>10000</v>
      </c>
      <c r="P137" s="314">
        <v>8000</v>
      </c>
      <c r="R137" s="59"/>
      <c r="S137" s="243"/>
      <c r="T137" s="59"/>
      <c r="U137" s="59"/>
    </row>
    <row r="138" spans="1:21">
      <c r="A138" s="131" t="str">
        <f t="shared" ref="A138:A160" si="13">+B138&amp;"-"&amp;C138</f>
        <v>NORTE-FIJA</v>
      </c>
      <c r="B138" s="170" t="str">
        <f t="shared" ref="B138:B160" si="14">VLOOKUP(D138,$B$30:$C$53,2,FALSE)</f>
        <v>NORTE</v>
      </c>
      <c r="C138" s="171" t="s">
        <v>185</v>
      </c>
      <c r="D138" s="170" t="s">
        <v>73</v>
      </c>
      <c r="E138" s="314">
        <v>9000</v>
      </c>
      <c r="F138" s="314">
        <v>8000</v>
      </c>
      <c r="G138" s="314">
        <v>10000</v>
      </c>
      <c r="H138" s="314">
        <v>9000</v>
      </c>
      <c r="I138" s="314">
        <v>9000</v>
      </c>
      <c r="J138" s="314">
        <v>9000</v>
      </c>
      <c r="K138" s="314">
        <v>9000</v>
      </c>
      <c r="L138" s="314">
        <v>9000</v>
      </c>
      <c r="M138" s="314">
        <v>9000</v>
      </c>
      <c r="N138" s="314">
        <v>9000</v>
      </c>
      <c r="O138" s="314">
        <v>10000</v>
      </c>
      <c r="P138" s="314">
        <v>10000</v>
      </c>
      <c r="R138" s="59"/>
      <c r="S138" s="243"/>
      <c r="T138" s="59"/>
      <c r="U138" s="59"/>
    </row>
    <row r="139" spans="1:21">
      <c r="A139" s="131" t="str">
        <f t="shared" si="13"/>
        <v>SUR-FIJA</v>
      </c>
      <c r="B139" s="170" t="str">
        <f t="shared" si="14"/>
        <v>SUR</v>
      </c>
      <c r="C139" s="171" t="s">
        <v>185</v>
      </c>
      <c r="D139" s="170" t="s">
        <v>175</v>
      </c>
      <c r="E139" s="314">
        <v>10000</v>
      </c>
      <c r="F139" s="314">
        <v>8000</v>
      </c>
      <c r="G139" s="314">
        <v>9000</v>
      </c>
      <c r="H139" s="314">
        <v>8000</v>
      </c>
      <c r="I139" s="314">
        <v>9000</v>
      </c>
      <c r="J139" s="314">
        <v>10000</v>
      </c>
      <c r="K139" s="314">
        <v>8000</v>
      </c>
      <c r="L139" s="314">
        <v>9000</v>
      </c>
      <c r="M139" s="314">
        <v>10000</v>
      </c>
      <c r="N139" s="314">
        <v>9000</v>
      </c>
      <c r="O139" s="314">
        <v>9000</v>
      </c>
      <c r="P139" s="314">
        <v>8000</v>
      </c>
      <c r="R139" s="59"/>
      <c r="S139" s="243"/>
      <c r="T139" s="59"/>
      <c r="U139" s="59"/>
    </row>
    <row r="140" spans="1:21">
      <c r="A140" s="131" t="str">
        <f t="shared" si="13"/>
        <v>SUR-FIJA</v>
      </c>
      <c r="B140" s="170" t="str">
        <f t="shared" si="14"/>
        <v>SUR</v>
      </c>
      <c r="C140" s="171" t="s">
        <v>185</v>
      </c>
      <c r="D140" s="170" t="s">
        <v>74</v>
      </c>
      <c r="E140" s="314">
        <v>8000</v>
      </c>
      <c r="F140" s="314">
        <v>9000</v>
      </c>
      <c r="G140" s="314">
        <v>10000</v>
      </c>
      <c r="H140" s="314">
        <v>8000</v>
      </c>
      <c r="I140" s="314">
        <v>9000</v>
      </c>
      <c r="J140" s="314">
        <v>9000</v>
      </c>
      <c r="K140" s="314">
        <v>10000</v>
      </c>
      <c r="L140" s="314">
        <v>8000</v>
      </c>
      <c r="M140" s="314">
        <v>8000</v>
      </c>
      <c r="N140" s="314">
        <v>9000</v>
      </c>
      <c r="O140" s="314">
        <v>8000</v>
      </c>
      <c r="P140" s="314">
        <v>8000</v>
      </c>
      <c r="R140" s="59"/>
      <c r="S140" s="243"/>
      <c r="T140" s="59"/>
      <c r="U140" s="59"/>
    </row>
    <row r="141" spans="1:21">
      <c r="A141" s="131" t="str">
        <f t="shared" si="13"/>
        <v>CENTRO-FIJA</v>
      </c>
      <c r="B141" s="170" t="str">
        <f t="shared" si="14"/>
        <v>CENTRO</v>
      </c>
      <c r="C141" s="171" t="s">
        <v>185</v>
      </c>
      <c r="D141" s="170" t="s">
        <v>75</v>
      </c>
      <c r="E141" s="314">
        <v>9000</v>
      </c>
      <c r="F141" s="314">
        <v>10000</v>
      </c>
      <c r="G141" s="314">
        <v>10000</v>
      </c>
      <c r="H141" s="314">
        <v>9000</v>
      </c>
      <c r="I141" s="314">
        <v>9000</v>
      </c>
      <c r="J141" s="314">
        <v>10000</v>
      </c>
      <c r="K141" s="314">
        <v>9000</v>
      </c>
      <c r="L141" s="314">
        <v>10000</v>
      </c>
      <c r="M141" s="314">
        <v>9000</v>
      </c>
      <c r="N141" s="314">
        <v>10000</v>
      </c>
      <c r="O141" s="314">
        <v>8000</v>
      </c>
      <c r="P141" s="314">
        <v>8000</v>
      </c>
      <c r="R141" s="59"/>
      <c r="S141" s="243"/>
      <c r="T141" s="59"/>
      <c r="U141" s="59"/>
    </row>
    <row r="142" spans="1:21">
      <c r="A142" s="131" t="str">
        <f t="shared" si="13"/>
        <v>NORTE-FIJA</v>
      </c>
      <c r="B142" s="170" t="str">
        <f t="shared" si="14"/>
        <v>NORTE</v>
      </c>
      <c r="C142" s="171" t="s">
        <v>185</v>
      </c>
      <c r="D142" s="170" t="s">
        <v>76</v>
      </c>
      <c r="E142" s="314">
        <v>8000</v>
      </c>
      <c r="F142" s="314">
        <v>8000</v>
      </c>
      <c r="G142" s="314">
        <v>9000</v>
      </c>
      <c r="H142" s="314">
        <v>8000</v>
      </c>
      <c r="I142" s="314">
        <v>10000</v>
      </c>
      <c r="J142" s="314">
        <v>10000</v>
      </c>
      <c r="K142" s="314">
        <v>9000</v>
      </c>
      <c r="L142" s="314">
        <v>9000</v>
      </c>
      <c r="M142" s="314">
        <v>9000</v>
      </c>
      <c r="N142" s="314">
        <v>9000</v>
      </c>
      <c r="O142" s="314">
        <v>8000</v>
      </c>
      <c r="P142" s="314">
        <v>10000</v>
      </c>
      <c r="R142" s="59"/>
      <c r="S142" s="243"/>
      <c r="T142" s="59"/>
      <c r="U142" s="59"/>
    </row>
    <row r="143" spans="1:21">
      <c r="A143" s="131" t="str">
        <f t="shared" si="13"/>
        <v>SUR-FIJA</v>
      </c>
      <c r="B143" s="170" t="str">
        <f t="shared" si="14"/>
        <v>SUR</v>
      </c>
      <c r="C143" s="171" t="s">
        <v>185</v>
      </c>
      <c r="D143" s="170" t="s">
        <v>176</v>
      </c>
      <c r="E143" s="314">
        <v>9000</v>
      </c>
      <c r="F143" s="314">
        <v>10000</v>
      </c>
      <c r="G143" s="314">
        <v>9000</v>
      </c>
      <c r="H143" s="314">
        <v>10000</v>
      </c>
      <c r="I143" s="314">
        <v>9000</v>
      </c>
      <c r="J143" s="314">
        <v>9000</v>
      </c>
      <c r="K143" s="314">
        <v>9000</v>
      </c>
      <c r="L143" s="314">
        <v>10000</v>
      </c>
      <c r="M143" s="314">
        <v>10000</v>
      </c>
      <c r="N143" s="314">
        <v>9000</v>
      </c>
      <c r="O143" s="314">
        <v>9000</v>
      </c>
      <c r="P143" s="314">
        <v>9000</v>
      </c>
      <c r="R143" s="59"/>
      <c r="S143" s="243"/>
      <c r="T143" s="59"/>
      <c r="U143" s="59"/>
    </row>
    <row r="144" spans="1:21">
      <c r="A144" s="131" t="str">
        <f t="shared" si="13"/>
        <v>CENTRO-FIJA</v>
      </c>
      <c r="B144" s="170" t="str">
        <f t="shared" si="14"/>
        <v>CENTRO</v>
      </c>
      <c r="C144" s="171" t="s">
        <v>185</v>
      </c>
      <c r="D144" s="170" t="s">
        <v>77</v>
      </c>
      <c r="E144" s="314">
        <v>10000</v>
      </c>
      <c r="F144" s="314">
        <v>8000</v>
      </c>
      <c r="G144" s="314">
        <v>8000</v>
      </c>
      <c r="H144" s="314">
        <v>8000</v>
      </c>
      <c r="I144" s="314">
        <v>9000</v>
      </c>
      <c r="J144" s="314">
        <v>9000</v>
      </c>
      <c r="K144" s="314">
        <v>10000</v>
      </c>
      <c r="L144" s="314">
        <v>9000</v>
      </c>
      <c r="M144" s="314">
        <v>10000</v>
      </c>
      <c r="N144" s="314">
        <v>10000</v>
      </c>
      <c r="O144" s="314">
        <v>9000</v>
      </c>
      <c r="P144" s="314">
        <v>10000</v>
      </c>
      <c r="R144" s="59"/>
      <c r="S144" s="243"/>
      <c r="T144" s="59"/>
      <c r="U144" s="59"/>
    </row>
    <row r="145" spans="1:21">
      <c r="A145" s="131" t="str">
        <f t="shared" si="13"/>
        <v>CENTRO-FIJA</v>
      </c>
      <c r="B145" s="170" t="str">
        <f t="shared" si="14"/>
        <v>CENTRO</v>
      </c>
      <c r="C145" s="171" t="s">
        <v>185</v>
      </c>
      <c r="D145" s="170" t="s">
        <v>78</v>
      </c>
      <c r="E145" s="314">
        <v>8000</v>
      </c>
      <c r="F145" s="314">
        <v>8000</v>
      </c>
      <c r="G145" s="314">
        <v>10000</v>
      </c>
      <c r="H145" s="314">
        <v>9000</v>
      </c>
      <c r="I145" s="314">
        <v>9000</v>
      </c>
      <c r="J145" s="314">
        <v>10000</v>
      </c>
      <c r="K145" s="314">
        <v>8000</v>
      </c>
      <c r="L145" s="314">
        <v>9000</v>
      </c>
      <c r="M145" s="314">
        <v>8000</v>
      </c>
      <c r="N145" s="314">
        <v>10000</v>
      </c>
      <c r="O145" s="314">
        <v>10000</v>
      </c>
      <c r="P145" s="314">
        <v>8000</v>
      </c>
      <c r="R145" s="59"/>
      <c r="S145" s="243"/>
      <c r="T145" s="59"/>
      <c r="U145" s="59"/>
    </row>
    <row r="146" spans="1:21">
      <c r="A146" s="131" t="str">
        <f t="shared" si="13"/>
        <v>CENTRO-FIJA</v>
      </c>
      <c r="B146" s="170" t="str">
        <f t="shared" si="14"/>
        <v>CENTRO</v>
      </c>
      <c r="C146" s="171" t="s">
        <v>185</v>
      </c>
      <c r="D146" s="170" t="s">
        <v>79</v>
      </c>
      <c r="E146" s="314">
        <v>9000</v>
      </c>
      <c r="F146" s="314">
        <v>10000</v>
      </c>
      <c r="G146" s="314">
        <v>10000</v>
      </c>
      <c r="H146" s="314">
        <v>9000</v>
      </c>
      <c r="I146" s="314">
        <v>10000</v>
      </c>
      <c r="J146" s="314">
        <v>9000</v>
      </c>
      <c r="K146" s="314">
        <v>8000</v>
      </c>
      <c r="L146" s="314">
        <v>10000</v>
      </c>
      <c r="M146" s="314">
        <v>9000</v>
      </c>
      <c r="N146" s="314">
        <v>9000</v>
      </c>
      <c r="O146" s="314">
        <v>8000</v>
      </c>
      <c r="P146" s="314">
        <v>9000</v>
      </c>
      <c r="R146" s="59"/>
      <c r="S146" s="243"/>
      <c r="T146" s="59"/>
      <c r="U146" s="59"/>
    </row>
    <row r="147" spans="1:21">
      <c r="A147" s="131" t="str">
        <f t="shared" si="13"/>
        <v>CENTRO-FIJA</v>
      </c>
      <c r="B147" s="170" t="str">
        <f t="shared" si="14"/>
        <v>CENTRO</v>
      </c>
      <c r="C147" s="171" t="s">
        <v>185</v>
      </c>
      <c r="D147" s="170" t="s">
        <v>80</v>
      </c>
      <c r="E147" s="314">
        <v>9000</v>
      </c>
      <c r="F147" s="314">
        <v>9000</v>
      </c>
      <c r="G147" s="314">
        <v>9000</v>
      </c>
      <c r="H147" s="314">
        <v>9000</v>
      </c>
      <c r="I147" s="314">
        <v>8000</v>
      </c>
      <c r="J147" s="314">
        <v>9000</v>
      </c>
      <c r="K147" s="314">
        <v>10000</v>
      </c>
      <c r="L147" s="314">
        <v>9000</v>
      </c>
      <c r="M147" s="314">
        <v>8000</v>
      </c>
      <c r="N147" s="314">
        <v>9000</v>
      </c>
      <c r="O147" s="314">
        <v>10000</v>
      </c>
      <c r="P147" s="314">
        <v>9000</v>
      </c>
      <c r="R147" s="59"/>
      <c r="S147" s="243"/>
      <c r="T147" s="59"/>
      <c r="U147" s="59"/>
    </row>
    <row r="148" spans="1:21">
      <c r="A148" s="131" t="str">
        <f t="shared" si="13"/>
        <v>NORTE-FIJA</v>
      </c>
      <c r="B148" s="170" t="str">
        <f t="shared" si="14"/>
        <v>NORTE</v>
      </c>
      <c r="C148" s="171" t="s">
        <v>185</v>
      </c>
      <c r="D148" s="170" t="s">
        <v>177</v>
      </c>
      <c r="E148" s="314">
        <v>8000</v>
      </c>
      <c r="F148" s="314">
        <v>10000</v>
      </c>
      <c r="G148" s="314">
        <v>9000</v>
      </c>
      <c r="H148" s="314">
        <v>8000</v>
      </c>
      <c r="I148" s="314">
        <v>8000</v>
      </c>
      <c r="J148" s="314">
        <v>9000</v>
      </c>
      <c r="K148" s="314">
        <v>9000</v>
      </c>
      <c r="L148" s="314">
        <v>9000</v>
      </c>
      <c r="M148" s="314">
        <v>9000</v>
      </c>
      <c r="N148" s="314">
        <v>9000</v>
      </c>
      <c r="O148" s="314">
        <v>9000</v>
      </c>
      <c r="P148" s="314">
        <v>10000</v>
      </c>
      <c r="R148" s="59"/>
      <c r="S148" s="243"/>
      <c r="T148" s="59"/>
      <c r="U148" s="59"/>
    </row>
    <row r="149" spans="1:21">
      <c r="A149" s="131" t="str">
        <f t="shared" si="13"/>
        <v>NORTE-FIJA</v>
      </c>
      <c r="B149" s="170" t="str">
        <f t="shared" si="14"/>
        <v>NORTE</v>
      </c>
      <c r="C149" s="171" t="s">
        <v>185</v>
      </c>
      <c r="D149" s="170" t="s">
        <v>81</v>
      </c>
      <c r="E149" s="314">
        <v>9000</v>
      </c>
      <c r="F149" s="314">
        <v>9000</v>
      </c>
      <c r="G149" s="314">
        <v>10000</v>
      </c>
      <c r="H149" s="314">
        <v>9000</v>
      </c>
      <c r="I149" s="314">
        <v>8000</v>
      </c>
      <c r="J149" s="314">
        <v>10000</v>
      </c>
      <c r="K149" s="314">
        <v>10000</v>
      </c>
      <c r="L149" s="314">
        <v>8000</v>
      </c>
      <c r="M149" s="314">
        <v>10000</v>
      </c>
      <c r="N149" s="314">
        <v>8000</v>
      </c>
      <c r="O149" s="314">
        <v>10000</v>
      </c>
      <c r="P149" s="314">
        <v>9000</v>
      </c>
      <c r="R149" s="59"/>
      <c r="S149" s="243"/>
      <c r="T149" s="59"/>
      <c r="U149" s="59"/>
    </row>
    <row r="150" spans="1:21">
      <c r="A150" s="131" t="str">
        <f t="shared" si="13"/>
        <v>CENTRO-FIJA</v>
      </c>
      <c r="B150" s="170" t="str">
        <f t="shared" si="14"/>
        <v>CENTRO</v>
      </c>
      <c r="C150" s="171" t="s">
        <v>185</v>
      </c>
      <c r="D150" s="170" t="s">
        <v>24</v>
      </c>
      <c r="E150" s="314">
        <v>10000</v>
      </c>
      <c r="F150" s="314">
        <v>10000</v>
      </c>
      <c r="G150" s="314">
        <v>10000</v>
      </c>
      <c r="H150" s="314">
        <v>10000</v>
      </c>
      <c r="I150" s="314">
        <v>9000</v>
      </c>
      <c r="J150" s="314">
        <v>8000</v>
      </c>
      <c r="K150" s="314">
        <v>9000</v>
      </c>
      <c r="L150" s="314">
        <v>10000</v>
      </c>
      <c r="M150" s="314">
        <v>10000</v>
      </c>
      <c r="N150" s="314">
        <v>9000</v>
      </c>
      <c r="O150" s="314">
        <v>9000</v>
      </c>
      <c r="P150" s="314">
        <v>8000</v>
      </c>
      <c r="R150" s="59"/>
      <c r="S150" s="243"/>
      <c r="T150" s="59"/>
      <c r="U150" s="59"/>
    </row>
    <row r="151" spans="1:21">
      <c r="A151" s="131" t="str">
        <f t="shared" si="13"/>
        <v>CENTRO-FIJA</v>
      </c>
      <c r="B151" s="170" t="str">
        <f t="shared" si="14"/>
        <v>CENTRO</v>
      </c>
      <c r="C151" s="171" t="s">
        <v>185</v>
      </c>
      <c r="D151" s="170" t="s">
        <v>82</v>
      </c>
      <c r="E151" s="314">
        <v>9000</v>
      </c>
      <c r="F151" s="314">
        <v>9000</v>
      </c>
      <c r="G151" s="314">
        <v>9000</v>
      </c>
      <c r="H151" s="314">
        <v>9000</v>
      </c>
      <c r="I151" s="314">
        <v>8000</v>
      </c>
      <c r="J151" s="314">
        <v>9000</v>
      </c>
      <c r="K151" s="314">
        <v>8000</v>
      </c>
      <c r="L151" s="314">
        <v>9000</v>
      </c>
      <c r="M151" s="314">
        <v>9000</v>
      </c>
      <c r="N151" s="314">
        <v>9000</v>
      </c>
      <c r="O151" s="314">
        <v>9000</v>
      </c>
      <c r="P151" s="314">
        <v>9000</v>
      </c>
      <c r="R151" s="59"/>
      <c r="S151" s="243"/>
      <c r="T151" s="59"/>
      <c r="U151" s="59"/>
    </row>
    <row r="152" spans="1:21">
      <c r="A152" s="131" t="str">
        <f t="shared" si="13"/>
        <v>CENTRO-FIJA</v>
      </c>
      <c r="B152" s="170" t="str">
        <f t="shared" si="14"/>
        <v>CENTRO</v>
      </c>
      <c r="C152" s="171" t="s">
        <v>185</v>
      </c>
      <c r="D152" s="170" t="s">
        <v>83</v>
      </c>
      <c r="E152" s="314">
        <v>9000</v>
      </c>
      <c r="F152" s="314">
        <v>8000</v>
      </c>
      <c r="G152" s="314">
        <v>10000</v>
      </c>
      <c r="H152" s="314">
        <v>9000</v>
      </c>
      <c r="I152" s="314">
        <v>9000</v>
      </c>
      <c r="J152" s="314">
        <v>10000</v>
      </c>
      <c r="K152" s="314">
        <v>9000</v>
      </c>
      <c r="L152" s="314">
        <v>9000</v>
      </c>
      <c r="M152" s="314">
        <v>8000</v>
      </c>
      <c r="N152" s="314">
        <v>8000</v>
      </c>
      <c r="O152" s="314">
        <v>8000</v>
      </c>
      <c r="P152" s="314">
        <v>9000</v>
      </c>
      <c r="R152" s="59"/>
      <c r="S152" s="243"/>
      <c r="T152" s="59"/>
      <c r="U152" s="59"/>
    </row>
    <row r="153" spans="1:21">
      <c r="A153" s="131" t="str">
        <f t="shared" si="13"/>
        <v>SUR-FIJA</v>
      </c>
      <c r="B153" s="170" t="str">
        <f t="shared" si="14"/>
        <v>SUR</v>
      </c>
      <c r="C153" s="171" t="s">
        <v>185</v>
      </c>
      <c r="D153" s="170" t="s">
        <v>84</v>
      </c>
      <c r="E153" s="314">
        <v>9000</v>
      </c>
      <c r="F153" s="314">
        <v>9000</v>
      </c>
      <c r="G153" s="314">
        <v>8000</v>
      </c>
      <c r="H153" s="314">
        <v>8000</v>
      </c>
      <c r="I153" s="314">
        <v>8000</v>
      </c>
      <c r="J153" s="314">
        <v>9000</v>
      </c>
      <c r="K153" s="314">
        <v>9000</v>
      </c>
      <c r="L153" s="314">
        <v>9000</v>
      </c>
      <c r="M153" s="314">
        <v>9000</v>
      </c>
      <c r="N153" s="314">
        <v>9000</v>
      </c>
      <c r="O153" s="314">
        <v>10000</v>
      </c>
      <c r="P153" s="314">
        <v>9000</v>
      </c>
      <c r="R153" s="59"/>
      <c r="S153" s="243"/>
      <c r="T153" s="59"/>
      <c r="U153" s="59"/>
    </row>
    <row r="154" spans="1:21">
      <c r="A154" s="131" t="str">
        <f t="shared" si="13"/>
        <v>CENTRO-FIJA</v>
      </c>
      <c r="B154" s="170" t="str">
        <f t="shared" si="14"/>
        <v>CENTRO</v>
      </c>
      <c r="C154" s="171" t="s">
        <v>185</v>
      </c>
      <c r="D154" s="170" t="s">
        <v>85</v>
      </c>
      <c r="E154" s="314">
        <v>10000</v>
      </c>
      <c r="F154" s="314">
        <v>9000</v>
      </c>
      <c r="G154" s="314">
        <v>9000</v>
      </c>
      <c r="H154" s="314">
        <v>9000</v>
      </c>
      <c r="I154" s="314">
        <v>10000</v>
      </c>
      <c r="J154" s="314">
        <v>10000</v>
      </c>
      <c r="K154" s="314">
        <v>9000</v>
      </c>
      <c r="L154" s="314">
        <v>8000</v>
      </c>
      <c r="M154" s="314">
        <v>9000</v>
      </c>
      <c r="N154" s="314">
        <v>9000</v>
      </c>
      <c r="O154" s="314">
        <v>10000</v>
      </c>
      <c r="P154" s="314">
        <v>10000</v>
      </c>
      <c r="R154" s="59"/>
      <c r="S154" s="243"/>
      <c r="T154" s="59"/>
      <c r="U154" s="59"/>
    </row>
    <row r="155" spans="1:21">
      <c r="A155" s="131" t="str">
        <f t="shared" si="13"/>
        <v>NORTE-FIJA</v>
      </c>
      <c r="B155" s="170" t="str">
        <f t="shared" si="14"/>
        <v>NORTE</v>
      </c>
      <c r="C155" s="171" t="s">
        <v>185</v>
      </c>
      <c r="D155" s="170" t="s">
        <v>86</v>
      </c>
      <c r="E155" s="314">
        <v>8000</v>
      </c>
      <c r="F155" s="314">
        <v>10000</v>
      </c>
      <c r="G155" s="314">
        <v>9000</v>
      </c>
      <c r="H155" s="314">
        <v>10000</v>
      </c>
      <c r="I155" s="314">
        <v>8000</v>
      </c>
      <c r="J155" s="314">
        <v>10000</v>
      </c>
      <c r="K155" s="314">
        <v>9000</v>
      </c>
      <c r="L155" s="314">
        <v>10000</v>
      </c>
      <c r="M155" s="314">
        <v>8000</v>
      </c>
      <c r="N155" s="314">
        <v>8000</v>
      </c>
      <c r="O155" s="314">
        <v>9000</v>
      </c>
      <c r="P155" s="314">
        <v>10000</v>
      </c>
      <c r="R155" s="59"/>
      <c r="S155" s="243"/>
      <c r="T155" s="59"/>
      <c r="U155" s="59"/>
    </row>
    <row r="156" spans="1:21">
      <c r="A156" s="131" t="str">
        <f t="shared" si="13"/>
        <v>SUR-FIJA</v>
      </c>
      <c r="B156" s="170" t="str">
        <f t="shared" si="14"/>
        <v>SUR</v>
      </c>
      <c r="C156" s="171" t="s">
        <v>185</v>
      </c>
      <c r="D156" s="170" t="s">
        <v>178</v>
      </c>
      <c r="E156" s="314">
        <v>8000</v>
      </c>
      <c r="F156" s="314">
        <v>9000</v>
      </c>
      <c r="G156" s="314">
        <v>8000</v>
      </c>
      <c r="H156" s="314">
        <v>9000</v>
      </c>
      <c r="I156" s="314">
        <v>8000</v>
      </c>
      <c r="J156" s="314">
        <v>10000</v>
      </c>
      <c r="K156" s="314">
        <v>9000</v>
      </c>
      <c r="L156" s="314">
        <v>8000</v>
      </c>
      <c r="M156" s="314">
        <v>8000</v>
      </c>
      <c r="N156" s="314">
        <v>9000</v>
      </c>
      <c r="O156" s="314">
        <v>9000</v>
      </c>
      <c r="P156" s="314">
        <v>8000</v>
      </c>
      <c r="R156" s="59"/>
      <c r="S156" s="243"/>
      <c r="T156" s="59"/>
      <c r="U156" s="59"/>
    </row>
    <row r="157" spans="1:21">
      <c r="A157" s="131" t="str">
        <f t="shared" si="13"/>
        <v>NORTE-FIJA</v>
      </c>
      <c r="B157" s="170" t="str">
        <f t="shared" si="14"/>
        <v>NORTE</v>
      </c>
      <c r="C157" s="171" t="s">
        <v>185</v>
      </c>
      <c r="D157" s="170" t="s">
        <v>87</v>
      </c>
      <c r="E157" s="314">
        <v>8000</v>
      </c>
      <c r="F157" s="314">
        <v>8000</v>
      </c>
      <c r="G157" s="314">
        <v>10000</v>
      </c>
      <c r="H157" s="314">
        <v>9000</v>
      </c>
      <c r="I157" s="314">
        <v>9000</v>
      </c>
      <c r="J157" s="314">
        <v>8000</v>
      </c>
      <c r="K157" s="314">
        <v>9000</v>
      </c>
      <c r="L157" s="314">
        <v>8000</v>
      </c>
      <c r="M157" s="314">
        <v>8000</v>
      </c>
      <c r="N157" s="314">
        <v>9000</v>
      </c>
      <c r="O157" s="314">
        <v>9000</v>
      </c>
      <c r="P157" s="314">
        <v>10000</v>
      </c>
      <c r="R157" s="59"/>
      <c r="S157" s="243"/>
      <c r="T157" s="59"/>
      <c r="U157" s="59"/>
    </row>
    <row r="158" spans="1:21">
      <c r="A158" s="131" t="str">
        <f t="shared" si="13"/>
        <v>SUR-FIJA</v>
      </c>
      <c r="B158" s="170" t="str">
        <f t="shared" si="14"/>
        <v>SUR</v>
      </c>
      <c r="C158" s="171" t="s">
        <v>185</v>
      </c>
      <c r="D158" s="170" t="s">
        <v>88</v>
      </c>
      <c r="E158" s="314">
        <v>9000</v>
      </c>
      <c r="F158" s="314">
        <v>8000</v>
      </c>
      <c r="G158" s="314">
        <v>9000</v>
      </c>
      <c r="H158" s="314">
        <v>10000</v>
      </c>
      <c r="I158" s="314">
        <v>8000</v>
      </c>
      <c r="J158" s="314">
        <v>8000</v>
      </c>
      <c r="K158" s="314">
        <v>10000</v>
      </c>
      <c r="L158" s="314">
        <v>10000</v>
      </c>
      <c r="M158" s="314">
        <v>10000</v>
      </c>
      <c r="N158" s="314">
        <v>10000</v>
      </c>
      <c r="O158" s="314">
        <v>8000</v>
      </c>
      <c r="P158" s="314">
        <v>8000</v>
      </c>
      <c r="R158" s="59"/>
      <c r="S158" s="243"/>
      <c r="T158" s="59"/>
      <c r="U158" s="59"/>
    </row>
    <row r="159" spans="1:21">
      <c r="A159" s="131" t="str">
        <f t="shared" si="13"/>
        <v>NORTE-FIJA</v>
      </c>
      <c r="B159" s="170" t="str">
        <f t="shared" si="14"/>
        <v>NORTE</v>
      </c>
      <c r="C159" s="171" t="s">
        <v>185</v>
      </c>
      <c r="D159" s="170" t="s">
        <v>179</v>
      </c>
      <c r="E159" s="314">
        <v>10000</v>
      </c>
      <c r="F159" s="314">
        <v>10000</v>
      </c>
      <c r="G159" s="314">
        <v>10000</v>
      </c>
      <c r="H159" s="314">
        <v>9000</v>
      </c>
      <c r="I159" s="314">
        <v>9000</v>
      </c>
      <c r="J159" s="314">
        <v>10000</v>
      </c>
      <c r="K159" s="314">
        <v>8000</v>
      </c>
      <c r="L159" s="314">
        <v>9000</v>
      </c>
      <c r="M159" s="314">
        <v>10000</v>
      </c>
      <c r="N159" s="314">
        <v>9000</v>
      </c>
      <c r="O159" s="314">
        <v>10000</v>
      </c>
      <c r="P159" s="314">
        <v>9000</v>
      </c>
      <c r="R159" s="59"/>
      <c r="S159" s="243"/>
      <c r="T159" s="59"/>
      <c r="U159" s="59"/>
    </row>
    <row r="160" spans="1:21">
      <c r="A160" s="131" t="str">
        <f t="shared" si="13"/>
        <v>CENTRO-FIJA</v>
      </c>
      <c r="B160" s="170" t="str">
        <f t="shared" si="14"/>
        <v>CENTRO</v>
      </c>
      <c r="C160" s="171" t="s">
        <v>185</v>
      </c>
      <c r="D160" s="170" t="s">
        <v>89</v>
      </c>
      <c r="E160" s="314">
        <v>9000</v>
      </c>
      <c r="F160" s="314">
        <v>9000</v>
      </c>
      <c r="G160" s="314">
        <v>9000</v>
      </c>
      <c r="H160" s="314">
        <v>9000</v>
      </c>
      <c r="I160" s="314">
        <v>10000</v>
      </c>
      <c r="J160" s="314">
        <v>10000</v>
      </c>
      <c r="K160" s="314">
        <v>8000</v>
      </c>
      <c r="L160" s="314">
        <v>8000</v>
      </c>
      <c r="M160" s="314">
        <v>10000</v>
      </c>
      <c r="N160" s="314">
        <v>9000</v>
      </c>
      <c r="O160" s="314">
        <v>9000</v>
      </c>
      <c r="P160" s="314">
        <v>10000</v>
      </c>
      <c r="R160" s="59"/>
      <c r="S160" s="243"/>
      <c r="T160" s="59"/>
      <c r="U160" s="59"/>
    </row>
    <row r="162" spans="2:4">
      <c r="B162" s="285" t="s">
        <v>293</v>
      </c>
      <c r="C162" s="285" t="s">
        <v>23</v>
      </c>
      <c r="D162" s="285" t="s">
        <v>294</v>
      </c>
    </row>
    <row r="163" spans="2:4">
      <c r="B163" s="286" t="s">
        <v>183</v>
      </c>
      <c r="C163" s="287">
        <f>SUMIF($C$59:$C$130,$B163,$P$59:$P$130)</f>
        <v>762240</v>
      </c>
      <c r="D163" s="288">
        <f>C163/$C$165</f>
        <v>0.89823238274805561</v>
      </c>
    </row>
    <row r="164" spans="2:4">
      <c r="B164" s="286" t="s">
        <v>182</v>
      </c>
      <c r="C164" s="287">
        <f>SUMIF($C$59:$C$130,$B164,$P$59:$P$130)</f>
        <v>86360</v>
      </c>
      <c r="D164" s="288">
        <f>C164/$C$165</f>
        <v>0.10176761725194437</v>
      </c>
    </row>
    <row r="165" spans="2:4">
      <c r="C165" s="122">
        <f>SUM(C163:C164)</f>
        <v>848600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22"/>
  <dimension ref="A3:Q65"/>
  <sheetViews>
    <sheetView topLeftCell="A31" workbookViewId="0">
      <selection activeCell="B60" sqref="B60"/>
    </sheetView>
  </sheetViews>
  <sheetFormatPr baseColWidth="10" defaultRowHeight="15"/>
  <cols>
    <col min="1" max="1" width="19.7109375" bestFit="1" customWidth="1"/>
    <col min="2" max="2" width="13.42578125" bestFit="1" customWidth="1"/>
    <col min="3" max="3" width="12.7109375" bestFit="1" customWidth="1"/>
    <col min="4" max="4" width="11.140625" bestFit="1" customWidth="1"/>
    <col min="5" max="8" width="12.7109375" bestFit="1" customWidth="1"/>
    <col min="9" max="10" width="11.140625" bestFit="1" customWidth="1"/>
    <col min="11" max="12" width="12.7109375" bestFit="1" customWidth="1"/>
    <col min="13" max="13" width="11.140625" bestFit="1" customWidth="1"/>
    <col min="14" max="14" width="13.7109375" bestFit="1" customWidth="1"/>
    <col min="17" max="17" width="12.7109375" bestFit="1" customWidth="1"/>
  </cols>
  <sheetData>
    <row r="3" spans="1:17">
      <c r="A3" s="102" t="s">
        <v>106</v>
      </c>
      <c r="B3" s="110">
        <v>39814</v>
      </c>
      <c r="C3" s="110">
        <v>39845</v>
      </c>
      <c r="D3" s="110">
        <v>39873</v>
      </c>
      <c r="E3" s="110">
        <v>39904</v>
      </c>
      <c r="F3" s="110">
        <v>39934</v>
      </c>
      <c r="G3" s="110">
        <v>39965</v>
      </c>
      <c r="H3" s="110">
        <v>39995</v>
      </c>
      <c r="I3" s="110">
        <v>40026</v>
      </c>
      <c r="J3" s="110">
        <v>40057</v>
      </c>
      <c r="K3" s="110">
        <v>40087</v>
      </c>
      <c r="L3" s="110">
        <v>40118</v>
      </c>
      <c r="M3" s="110">
        <v>40148</v>
      </c>
      <c r="N3" s="111" t="s">
        <v>47</v>
      </c>
    </row>
    <row r="4" spans="1:17">
      <c r="A4" s="102" t="s">
        <v>103</v>
      </c>
      <c r="B4" s="307">
        <v>2000000</v>
      </c>
      <c r="C4" s="307">
        <v>3000000</v>
      </c>
      <c r="D4" s="307">
        <v>3000000</v>
      </c>
      <c r="E4" s="307">
        <v>3000000</v>
      </c>
      <c r="F4" s="307">
        <v>2000000</v>
      </c>
      <c r="G4" s="307">
        <v>3000000</v>
      </c>
      <c r="H4" s="307">
        <v>3000000</v>
      </c>
      <c r="I4" s="307">
        <v>2000000</v>
      </c>
      <c r="J4" s="307">
        <v>3000000</v>
      </c>
      <c r="K4" s="307">
        <v>3000000</v>
      </c>
      <c r="L4" s="307">
        <v>3000000</v>
      </c>
      <c r="M4" s="307">
        <v>3000000</v>
      </c>
      <c r="N4" s="105">
        <f>SUM(B4:M4)</f>
        <v>33000000</v>
      </c>
      <c r="Q4" s="59"/>
    </row>
    <row r="5" spans="1:17">
      <c r="A5" s="102" t="s">
        <v>104</v>
      </c>
      <c r="B5" s="307">
        <v>40000000</v>
      </c>
      <c r="C5" s="307">
        <v>30000000</v>
      </c>
      <c r="D5" s="307">
        <v>30000000</v>
      </c>
      <c r="E5" s="307">
        <v>30000000</v>
      </c>
      <c r="F5" s="307">
        <v>30000000</v>
      </c>
      <c r="G5" s="307">
        <v>40000000</v>
      </c>
      <c r="H5" s="307">
        <v>30000000</v>
      </c>
      <c r="I5" s="307">
        <v>40000000</v>
      </c>
      <c r="J5" s="307">
        <v>40000000</v>
      </c>
      <c r="K5" s="307">
        <v>30000000</v>
      </c>
      <c r="L5" s="307">
        <v>40000000</v>
      </c>
      <c r="M5" s="307">
        <v>30000000</v>
      </c>
      <c r="N5" s="105">
        <f t="shared" ref="N5:N6" si="0">SUM(B5:M5)</f>
        <v>410000000</v>
      </c>
      <c r="Q5" s="59"/>
    </row>
    <row r="6" spans="1:17">
      <c r="A6" s="102" t="s">
        <v>105</v>
      </c>
      <c r="B6" s="307">
        <v>900000000</v>
      </c>
      <c r="C6" s="307">
        <v>1000000000</v>
      </c>
      <c r="D6" s="307">
        <v>800000000</v>
      </c>
      <c r="E6" s="307">
        <v>1100000000</v>
      </c>
      <c r="F6" s="307">
        <v>1000000000</v>
      </c>
      <c r="G6" s="307">
        <v>1000000000</v>
      </c>
      <c r="H6" s="307">
        <v>1000000000</v>
      </c>
      <c r="I6" s="307">
        <v>800000000</v>
      </c>
      <c r="J6" s="307">
        <v>800000000</v>
      </c>
      <c r="K6" s="307">
        <v>1000000000</v>
      </c>
      <c r="L6" s="307">
        <v>1000000000</v>
      </c>
      <c r="M6" s="307">
        <v>900000000</v>
      </c>
      <c r="N6" s="105">
        <f t="shared" si="0"/>
        <v>11300000000</v>
      </c>
      <c r="Q6" s="59"/>
    </row>
    <row r="8" spans="1:17">
      <c r="A8" s="102" t="s">
        <v>112</v>
      </c>
      <c r="B8" s="110">
        <v>39814</v>
      </c>
      <c r="C8" s="110">
        <v>39845</v>
      </c>
      <c r="D8" s="110">
        <v>39873</v>
      </c>
      <c r="E8" s="110">
        <v>39904</v>
      </c>
      <c r="F8" s="110">
        <v>39934</v>
      </c>
      <c r="G8" s="110">
        <v>39965</v>
      </c>
      <c r="H8" s="110">
        <v>39995</v>
      </c>
      <c r="I8" s="110">
        <v>40026</v>
      </c>
      <c r="J8" s="110">
        <v>40057</v>
      </c>
      <c r="K8" s="110">
        <v>40087</v>
      </c>
      <c r="L8" s="110">
        <v>40118</v>
      </c>
      <c r="M8" s="110">
        <v>40148</v>
      </c>
      <c r="N8" s="111" t="s">
        <v>47</v>
      </c>
    </row>
    <row r="9" spans="1:17">
      <c r="A9" s="102" t="s">
        <v>91</v>
      </c>
      <c r="B9" s="316">
        <f t="shared" ref="B9:D9" si="1">+B10+B11</f>
        <v>1700000</v>
      </c>
      <c r="C9" s="316">
        <f t="shared" si="1"/>
        <v>1700000</v>
      </c>
      <c r="D9" s="316">
        <f t="shared" si="1"/>
        <v>1600000</v>
      </c>
      <c r="E9" s="316">
        <f>+E10+E11</f>
        <v>2000000</v>
      </c>
      <c r="F9" s="316">
        <f t="shared" ref="F9:M9" si="2">+F10+F11</f>
        <v>1600000</v>
      </c>
      <c r="G9" s="316">
        <f t="shared" si="2"/>
        <v>2000000</v>
      </c>
      <c r="H9" s="316">
        <f t="shared" si="2"/>
        <v>1600000</v>
      </c>
      <c r="I9" s="316">
        <f t="shared" si="2"/>
        <v>2000000</v>
      </c>
      <c r="J9" s="316">
        <f t="shared" si="2"/>
        <v>1700000</v>
      </c>
      <c r="K9" s="316">
        <f t="shared" si="2"/>
        <v>2200000</v>
      </c>
      <c r="L9" s="316">
        <f t="shared" si="2"/>
        <v>2300000</v>
      </c>
      <c r="M9" s="316">
        <f t="shared" si="2"/>
        <v>1700000</v>
      </c>
      <c r="N9" s="105">
        <f>SUM(B9:M9)</f>
        <v>22100000</v>
      </c>
    </row>
    <row r="10" spans="1:17">
      <c r="A10" s="102" t="s">
        <v>92</v>
      </c>
      <c r="B10" s="315">
        <v>0</v>
      </c>
      <c r="C10" s="315">
        <v>0</v>
      </c>
      <c r="D10" s="315">
        <v>0</v>
      </c>
      <c r="E10" s="315">
        <v>0</v>
      </c>
      <c r="F10" s="315">
        <v>0</v>
      </c>
      <c r="G10" s="315">
        <v>0</v>
      </c>
      <c r="H10" s="315">
        <v>0</v>
      </c>
      <c r="I10" s="315">
        <v>0</v>
      </c>
      <c r="J10" s="315">
        <v>0</v>
      </c>
      <c r="K10" s="315">
        <v>0</v>
      </c>
      <c r="L10" s="315">
        <v>0</v>
      </c>
      <c r="M10" s="315">
        <v>0</v>
      </c>
      <c r="N10" s="107">
        <f t="shared" ref="N10:N15" si="3">SUM(B10:M10)</f>
        <v>0</v>
      </c>
      <c r="Q10" s="59"/>
    </row>
    <row r="11" spans="1:17">
      <c r="A11" s="102" t="s">
        <v>93</v>
      </c>
      <c r="B11" s="315">
        <v>1700000</v>
      </c>
      <c r="C11" s="315">
        <v>1700000</v>
      </c>
      <c r="D11" s="315">
        <v>1600000</v>
      </c>
      <c r="E11" s="315">
        <v>2000000</v>
      </c>
      <c r="F11" s="315">
        <v>1600000</v>
      </c>
      <c r="G11" s="315">
        <v>2000000</v>
      </c>
      <c r="H11" s="315">
        <v>1600000</v>
      </c>
      <c r="I11" s="315">
        <v>2000000</v>
      </c>
      <c r="J11" s="315">
        <v>1700000</v>
      </c>
      <c r="K11" s="315">
        <v>2200000</v>
      </c>
      <c r="L11" s="315">
        <v>2300000</v>
      </c>
      <c r="M11" s="315">
        <v>1700000</v>
      </c>
      <c r="N11" s="107">
        <f t="shared" si="3"/>
        <v>22100000</v>
      </c>
      <c r="Q11" s="59"/>
    </row>
    <row r="12" spans="1:17">
      <c r="A12" s="102" t="s">
        <v>94</v>
      </c>
      <c r="B12" s="316">
        <f t="shared" ref="B12" si="4">+B13+B14</f>
        <v>240000</v>
      </c>
      <c r="C12" s="316">
        <f t="shared" ref="C12" si="5">+C13+C14</f>
        <v>230000</v>
      </c>
      <c r="D12" s="316">
        <f t="shared" ref="D12" si="6">+D13+D14</f>
        <v>190000</v>
      </c>
      <c r="E12" s="316">
        <f>E13+E14</f>
        <v>250000</v>
      </c>
      <c r="F12" s="316">
        <f t="shared" ref="F12:M12" si="7">F13+F14</f>
        <v>190000</v>
      </c>
      <c r="G12" s="316">
        <f t="shared" si="7"/>
        <v>220000</v>
      </c>
      <c r="H12" s="316">
        <f t="shared" si="7"/>
        <v>200000</v>
      </c>
      <c r="I12" s="316">
        <f t="shared" si="7"/>
        <v>240000</v>
      </c>
      <c r="J12" s="316">
        <f t="shared" si="7"/>
        <v>190000</v>
      </c>
      <c r="K12" s="316">
        <f t="shared" si="7"/>
        <v>260000</v>
      </c>
      <c r="L12" s="316">
        <f t="shared" si="7"/>
        <v>210000</v>
      </c>
      <c r="M12" s="316">
        <f t="shared" si="7"/>
        <v>250000</v>
      </c>
      <c r="N12" s="105">
        <f t="shared" si="3"/>
        <v>2670000</v>
      </c>
    </row>
    <row r="13" spans="1:17">
      <c r="A13" s="102" t="s">
        <v>95</v>
      </c>
      <c r="B13" s="315">
        <v>0</v>
      </c>
      <c r="C13" s="315">
        <v>0</v>
      </c>
      <c r="D13" s="315">
        <v>0</v>
      </c>
      <c r="E13" s="315">
        <v>0</v>
      </c>
      <c r="F13" s="315">
        <v>0</v>
      </c>
      <c r="G13" s="315">
        <v>0</v>
      </c>
      <c r="H13" s="315">
        <v>0</v>
      </c>
      <c r="I13" s="315">
        <v>0</v>
      </c>
      <c r="J13" s="315">
        <v>0</v>
      </c>
      <c r="K13" s="315">
        <v>0</v>
      </c>
      <c r="L13" s="315">
        <v>0</v>
      </c>
      <c r="M13" s="315">
        <v>0</v>
      </c>
      <c r="N13" s="107">
        <f t="shared" si="3"/>
        <v>0</v>
      </c>
      <c r="Q13" s="59"/>
    </row>
    <row r="14" spans="1:17">
      <c r="A14" s="102" t="s">
        <v>93</v>
      </c>
      <c r="B14" s="315">
        <v>240000</v>
      </c>
      <c r="C14" s="315">
        <v>230000</v>
      </c>
      <c r="D14" s="315">
        <v>190000</v>
      </c>
      <c r="E14" s="315">
        <v>250000</v>
      </c>
      <c r="F14" s="315">
        <v>190000</v>
      </c>
      <c r="G14" s="315">
        <v>220000</v>
      </c>
      <c r="H14" s="315">
        <v>200000</v>
      </c>
      <c r="I14" s="315">
        <v>240000</v>
      </c>
      <c r="J14" s="315">
        <v>190000</v>
      </c>
      <c r="K14" s="315">
        <v>260000</v>
      </c>
      <c r="L14" s="315">
        <v>210000</v>
      </c>
      <c r="M14" s="315">
        <v>250000</v>
      </c>
      <c r="N14" s="107">
        <f t="shared" si="3"/>
        <v>2670000</v>
      </c>
      <c r="Q14" s="59"/>
    </row>
    <row r="15" spans="1:17">
      <c r="A15" s="102" t="s">
        <v>47</v>
      </c>
      <c r="B15" s="108">
        <f t="shared" ref="B15:D15" si="8">B12+B9</f>
        <v>1940000</v>
      </c>
      <c r="C15" s="108">
        <f t="shared" si="8"/>
        <v>1930000</v>
      </c>
      <c r="D15" s="108">
        <f t="shared" si="8"/>
        <v>1790000</v>
      </c>
      <c r="E15" s="108">
        <f>E12+E9</f>
        <v>2250000</v>
      </c>
      <c r="F15" s="108">
        <f t="shared" ref="F15:M15" si="9">F12+F9</f>
        <v>1790000</v>
      </c>
      <c r="G15" s="108">
        <f t="shared" si="9"/>
        <v>2220000</v>
      </c>
      <c r="H15" s="108">
        <f t="shared" si="9"/>
        <v>1800000</v>
      </c>
      <c r="I15" s="108">
        <f t="shared" si="9"/>
        <v>2240000</v>
      </c>
      <c r="J15" s="108">
        <f t="shared" si="9"/>
        <v>1890000</v>
      </c>
      <c r="K15" s="108">
        <f t="shared" si="9"/>
        <v>2460000</v>
      </c>
      <c r="L15" s="108">
        <f t="shared" si="9"/>
        <v>2510000</v>
      </c>
      <c r="M15" s="108">
        <f t="shared" si="9"/>
        <v>1950000</v>
      </c>
      <c r="N15" s="108">
        <f t="shared" si="3"/>
        <v>24770000</v>
      </c>
    </row>
    <row r="18" spans="1:17">
      <c r="A18" s="112" t="s">
        <v>107</v>
      </c>
      <c r="B18" s="340" t="s">
        <v>61</v>
      </c>
      <c r="C18" s="341"/>
      <c r="D18" s="342"/>
      <c r="E18" s="340" t="s">
        <v>60</v>
      </c>
      <c r="F18" s="341"/>
      <c r="G18" s="342"/>
      <c r="H18" s="340" t="s">
        <v>59</v>
      </c>
      <c r="I18" s="341"/>
      <c r="J18" s="342"/>
      <c r="K18" s="340" t="s">
        <v>58</v>
      </c>
      <c r="L18" s="341"/>
      <c r="M18" s="342"/>
      <c r="N18" s="112" t="s">
        <v>47</v>
      </c>
    </row>
    <row r="19" spans="1:17">
      <c r="A19" s="102" t="s">
        <v>56</v>
      </c>
      <c r="B19" s="334">
        <v>50000000</v>
      </c>
      <c r="C19" s="335">
        <v>53000000</v>
      </c>
      <c r="D19" s="336">
        <v>54000000</v>
      </c>
      <c r="E19" s="334">
        <v>50000000</v>
      </c>
      <c r="F19" s="335">
        <v>52000000</v>
      </c>
      <c r="G19" s="336">
        <v>40000000</v>
      </c>
      <c r="H19" s="334">
        <v>50000000</v>
      </c>
      <c r="I19" s="335">
        <v>51000000</v>
      </c>
      <c r="J19" s="336">
        <v>56000000</v>
      </c>
      <c r="K19" s="334">
        <v>50000000</v>
      </c>
      <c r="L19" s="335">
        <v>53000000</v>
      </c>
      <c r="M19" s="336">
        <v>51000000</v>
      </c>
      <c r="N19" s="105">
        <f t="shared" ref="N19:N24" si="10">SUM(B19:M19)</f>
        <v>610000000</v>
      </c>
      <c r="Q19" s="59"/>
    </row>
    <row r="20" spans="1:17">
      <c r="A20" s="102" t="s">
        <v>55</v>
      </c>
      <c r="B20" s="343">
        <f>B21+B22</f>
        <v>770000000</v>
      </c>
      <c r="C20" s="344"/>
      <c r="D20" s="345"/>
      <c r="E20" s="343">
        <f>E21+E22</f>
        <v>780000000</v>
      </c>
      <c r="F20" s="344"/>
      <c r="G20" s="345"/>
      <c r="H20" s="343">
        <f>H21+H22</f>
        <v>970000000</v>
      </c>
      <c r="I20" s="344"/>
      <c r="J20" s="345"/>
      <c r="K20" s="343">
        <f>K21+K22</f>
        <v>860000000</v>
      </c>
      <c r="L20" s="344"/>
      <c r="M20" s="345"/>
      <c r="N20" s="105">
        <f t="shared" si="10"/>
        <v>3380000000</v>
      </c>
    </row>
    <row r="21" spans="1:17">
      <c r="A21" s="106" t="s">
        <v>54</v>
      </c>
      <c r="B21" s="346">
        <v>70000000</v>
      </c>
      <c r="C21" s="347">
        <v>63000000</v>
      </c>
      <c r="D21" s="348">
        <v>84000000</v>
      </c>
      <c r="E21" s="346">
        <v>80000000</v>
      </c>
      <c r="F21" s="347">
        <v>65000000</v>
      </c>
      <c r="G21" s="348">
        <v>72000000</v>
      </c>
      <c r="H21" s="346">
        <v>70000000</v>
      </c>
      <c r="I21" s="347">
        <v>63000000</v>
      </c>
      <c r="J21" s="348">
        <v>82000000</v>
      </c>
      <c r="K21" s="346">
        <v>60000000</v>
      </c>
      <c r="L21" s="347">
        <v>65000000</v>
      </c>
      <c r="M21" s="348">
        <v>64000000</v>
      </c>
      <c r="N21" s="107">
        <f t="shared" si="10"/>
        <v>838000000</v>
      </c>
      <c r="Q21" s="59"/>
    </row>
    <row r="22" spans="1:17">
      <c r="A22" s="106" t="s">
        <v>57</v>
      </c>
      <c r="B22" s="346">
        <v>700000000</v>
      </c>
      <c r="C22" s="347">
        <v>679000000</v>
      </c>
      <c r="D22" s="348">
        <v>791000000</v>
      </c>
      <c r="E22" s="346">
        <v>700000000</v>
      </c>
      <c r="F22" s="347">
        <v>642000000</v>
      </c>
      <c r="G22" s="348">
        <v>728000000</v>
      </c>
      <c r="H22" s="346">
        <v>900000000</v>
      </c>
      <c r="I22" s="347">
        <v>822000000</v>
      </c>
      <c r="J22" s="348">
        <v>929000000</v>
      </c>
      <c r="K22" s="346">
        <v>800000000</v>
      </c>
      <c r="L22" s="347">
        <v>808000000</v>
      </c>
      <c r="M22" s="348">
        <v>912000000</v>
      </c>
      <c r="N22" s="107">
        <f t="shared" si="10"/>
        <v>9411000000</v>
      </c>
      <c r="Q22" s="59"/>
    </row>
    <row r="23" spans="1:17">
      <c r="A23" s="102" t="s">
        <v>53</v>
      </c>
      <c r="B23" s="334">
        <v>2000000000</v>
      </c>
      <c r="C23" s="335">
        <v>1956000000</v>
      </c>
      <c r="D23" s="336">
        <v>2071000000</v>
      </c>
      <c r="E23" s="334">
        <v>2000000000</v>
      </c>
      <c r="F23" s="335">
        <v>1538000000</v>
      </c>
      <c r="G23" s="336">
        <v>2190000000</v>
      </c>
      <c r="H23" s="334">
        <v>2000000000</v>
      </c>
      <c r="I23" s="335">
        <v>1804000000</v>
      </c>
      <c r="J23" s="336">
        <v>1618000000</v>
      </c>
      <c r="K23" s="334">
        <v>2000000000</v>
      </c>
      <c r="L23" s="335">
        <v>2087000000</v>
      </c>
      <c r="M23" s="336">
        <v>1532000000</v>
      </c>
      <c r="N23" s="105">
        <f t="shared" si="10"/>
        <v>22796000000</v>
      </c>
      <c r="Q23" s="59"/>
    </row>
    <row r="24" spans="1:17">
      <c r="A24" s="102" t="s">
        <v>23</v>
      </c>
      <c r="B24" s="337">
        <f>SUM(B19:B20,B23)</f>
        <v>2820000000</v>
      </c>
      <c r="C24" s="338"/>
      <c r="D24" s="339"/>
      <c r="E24" s="337">
        <f>SUM(E19:E20,E23)</f>
        <v>2830000000</v>
      </c>
      <c r="F24" s="338"/>
      <c r="G24" s="339"/>
      <c r="H24" s="337">
        <f>SUM(H19:H20,H23)</f>
        <v>3020000000</v>
      </c>
      <c r="I24" s="338"/>
      <c r="J24" s="339"/>
      <c r="K24" s="337">
        <f>SUM(K19:K20,K23)</f>
        <v>2910000000</v>
      </c>
      <c r="L24" s="338"/>
      <c r="M24" s="339"/>
      <c r="N24" s="108">
        <f t="shared" si="10"/>
        <v>11580000000</v>
      </c>
    </row>
    <row r="26" spans="1:17">
      <c r="A26" s="102" t="s">
        <v>108</v>
      </c>
      <c r="B26" s="103">
        <v>39814</v>
      </c>
      <c r="C26" s="103">
        <v>39845</v>
      </c>
      <c r="D26" s="103">
        <v>39873</v>
      </c>
      <c r="E26" s="103">
        <v>39904</v>
      </c>
      <c r="F26" s="103">
        <v>39934</v>
      </c>
      <c r="G26" s="103">
        <v>39965</v>
      </c>
      <c r="H26" s="103">
        <v>39995</v>
      </c>
      <c r="I26" s="103">
        <v>40026</v>
      </c>
      <c r="J26" s="103">
        <v>40057</v>
      </c>
      <c r="K26" s="103">
        <v>40087</v>
      </c>
      <c r="L26" s="103">
        <v>40118</v>
      </c>
      <c r="M26" s="103">
        <v>40148</v>
      </c>
      <c r="N26" s="104" t="s">
        <v>47</v>
      </c>
    </row>
    <row r="27" spans="1:17">
      <c r="A27" s="102" t="s">
        <v>56</v>
      </c>
      <c r="B27" s="105">
        <f>$B19*B$6/SUM(B$6:D$6)</f>
        <v>16666666.666666666</v>
      </c>
      <c r="C27" s="105">
        <f>$B19*C$6/SUM(B$6:D$6)</f>
        <v>18518518.518518519</v>
      </c>
      <c r="D27" s="105">
        <f>$B19*D$6/SUM(B$6:D$6)</f>
        <v>14814814.814814815</v>
      </c>
      <c r="E27" s="105">
        <f>$E19*E$6/SUM(E$6:G$6)</f>
        <v>17741935.483870968</v>
      </c>
      <c r="F27" s="105">
        <f>$E19*F$6/SUM(E$6:G$6)</f>
        <v>16129032.258064516</v>
      </c>
      <c r="G27" s="105">
        <f>$E19*G$6/SUM(E$6:G$6)</f>
        <v>16129032.258064516</v>
      </c>
      <c r="H27" s="105">
        <f>$H19*H$6/SUM(H$6:J$6)</f>
        <v>19230769.230769232</v>
      </c>
      <c r="I27" s="105">
        <f>$H19*I$6/SUM(H$6:J$6)</f>
        <v>15384615.384615384</v>
      </c>
      <c r="J27" s="105">
        <f>$H19*J$6/SUM(H$6:J$6)</f>
        <v>15384615.384615384</v>
      </c>
      <c r="K27" s="105">
        <f>$K19*K$6/SUM(K$6:M$6)</f>
        <v>17241379.310344826</v>
      </c>
      <c r="L27" s="105">
        <f>$K19*L$6/SUM(K$6:M$6)</f>
        <v>17241379.310344826</v>
      </c>
      <c r="M27" s="105">
        <f>$K19*M$6/SUM(K$6:M$6)</f>
        <v>15517241.379310345</v>
      </c>
      <c r="N27" s="105">
        <f t="shared" ref="N27:N33" si="11">SUM(B27:M27)</f>
        <v>199999999.99999997</v>
      </c>
    </row>
    <row r="28" spans="1:17">
      <c r="A28" s="102" t="s">
        <v>55</v>
      </c>
      <c r="B28" s="105">
        <f>$B20*B$6/SUM(B$6:D$6)</f>
        <v>256666666.66666666</v>
      </c>
      <c r="C28" s="105">
        <f>$B20*C$6/SUM(B$6:D$6)</f>
        <v>285185185.18518519</v>
      </c>
      <c r="D28" s="105">
        <f>$B20*D$6/SUM(B$6:D$6)</f>
        <v>228148148.14814815</v>
      </c>
      <c r="E28" s="105">
        <f t="shared" ref="E28:E31" si="12">$E20*E$6/SUM(E$6:G$6)</f>
        <v>276774193.54838711</v>
      </c>
      <c r="F28" s="105">
        <f t="shared" ref="F28:F31" si="13">$E20*F$6/SUM(E$6:G$6)</f>
        <v>251612903.22580644</v>
      </c>
      <c r="G28" s="105">
        <f t="shared" ref="G28:G31" si="14">$E20*G$6/SUM(E$6:G$6)</f>
        <v>251612903.22580644</v>
      </c>
      <c r="H28" s="105">
        <f t="shared" ref="H28:H31" si="15">$H20*H$6/SUM(H$6:J$6)</f>
        <v>373076923.07692307</v>
      </c>
      <c r="I28" s="105">
        <f t="shared" ref="I28:I31" si="16">$H20*I$6/SUM(H$6:J$6)</f>
        <v>298461538.46153843</v>
      </c>
      <c r="J28" s="105">
        <f t="shared" ref="J28:J31" si="17">$H20*J$6/SUM(H$6:J$6)</f>
        <v>298461538.46153843</v>
      </c>
      <c r="K28" s="105">
        <f t="shared" ref="K28:K31" si="18">$K20*K$6/SUM(K$6:M$6)</f>
        <v>296551724.13793105</v>
      </c>
      <c r="L28" s="105">
        <f t="shared" ref="L28:L31" si="19">$K20*L$6/SUM(K$6:M$6)</f>
        <v>296551724.13793105</v>
      </c>
      <c r="M28" s="105">
        <f t="shared" ref="M28:M31" si="20">$K20*M$6/SUM(K$6:M$6)</f>
        <v>266896551.72413793</v>
      </c>
      <c r="N28" s="105">
        <f t="shared" si="11"/>
        <v>3379999999.9999995</v>
      </c>
    </row>
    <row r="29" spans="1:17">
      <c r="A29" s="106" t="s">
        <v>54</v>
      </c>
      <c r="B29" s="107">
        <f>$B21*B$6/SUM(B$6:D$6)</f>
        <v>23333333.333333332</v>
      </c>
      <c r="C29" s="107">
        <f>$B21*C$6/SUM(B$6:D$6)</f>
        <v>25925925.925925925</v>
      </c>
      <c r="D29" s="107">
        <f>$B21*D$6/SUM(B$6:D$6)</f>
        <v>20740740.740740743</v>
      </c>
      <c r="E29" s="107">
        <f t="shared" si="12"/>
        <v>28387096.774193548</v>
      </c>
      <c r="F29" s="107">
        <f t="shared" si="13"/>
        <v>25806451.612903226</v>
      </c>
      <c r="G29" s="107">
        <f t="shared" si="14"/>
        <v>25806451.612903226</v>
      </c>
      <c r="H29" s="107">
        <f t="shared" si="15"/>
        <v>26923076.923076924</v>
      </c>
      <c r="I29" s="107">
        <f t="shared" si="16"/>
        <v>21538461.53846154</v>
      </c>
      <c r="J29" s="107">
        <f t="shared" si="17"/>
        <v>21538461.53846154</v>
      </c>
      <c r="K29" s="107">
        <f t="shared" si="18"/>
        <v>20689655.172413792</v>
      </c>
      <c r="L29" s="107">
        <f t="shared" si="19"/>
        <v>20689655.172413792</v>
      </c>
      <c r="M29" s="107">
        <f t="shared" si="20"/>
        <v>18620689.655172415</v>
      </c>
      <c r="N29" s="107">
        <f t="shared" si="11"/>
        <v>280000000</v>
      </c>
    </row>
    <row r="30" spans="1:17">
      <c r="A30" s="106" t="s">
        <v>57</v>
      </c>
      <c r="B30" s="107">
        <f>$B22*B$6/SUM(B$6:D$6)</f>
        <v>233333333.33333334</v>
      </c>
      <c r="C30" s="107">
        <f>$B22*C$6/SUM(B$6:D$6)</f>
        <v>259259259.25925925</v>
      </c>
      <c r="D30" s="107">
        <f>$B22*D$6/SUM(B$6:D$6)</f>
        <v>207407407.4074074</v>
      </c>
      <c r="E30" s="107">
        <f t="shared" si="12"/>
        <v>248387096.77419356</v>
      </c>
      <c r="F30" s="107">
        <f t="shared" si="13"/>
        <v>225806451.61290324</v>
      </c>
      <c r="G30" s="107">
        <f t="shared" si="14"/>
        <v>225806451.61290324</v>
      </c>
      <c r="H30" s="107">
        <f t="shared" si="15"/>
        <v>346153846.15384614</v>
      </c>
      <c r="I30" s="107">
        <f t="shared" si="16"/>
        <v>276923076.92307693</v>
      </c>
      <c r="J30" s="107">
        <f t="shared" si="17"/>
        <v>276923076.92307693</v>
      </c>
      <c r="K30" s="107">
        <f t="shared" si="18"/>
        <v>275862068.96551722</v>
      </c>
      <c r="L30" s="107">
        <f t="shared" si="19"/>
        <v>275862068.96551722</v>
      </c>
      <c r="M30" s="107">
        <f t="shared" si="20"/>
        <v>248275862.06896552</v>
      </c>
      <c r="N30" s="107">
        <f t="shared" si="11"/>
        <v>3099999999.9999995</v>
      </c>
    </row>
    <row r="31" spans="1:17">
      <c r="A31" s="102" t="s">
        <v>53</v>
      </c>
      <c r="B31" s="105">
        <f>$B23*B$6/SUM(B$6:D$6)</f>
        <v>666666666.66666663</v>
      </c>
      <c r="C31" s="105">
        <f>$B23*C$6/SUM(B$6:D$6)</f>
        <v>740740740.74074078</v>
      </c>
      <c r="D31" s="105">
        <f>$B23*D$6/SUM(B$6:D$6)</f>
        <v>592592592.5925926</v>
      </c>
      <c r="E31" s="105">
        <f t="shared" si="12"/>
        <v>709677419.35483873</v>
      </c>
      <c r="F31" s="105">
        <f t="shared" si="13"/>
        <v>645161290.3225807</v>
      </c>
      <c r="G31" s="105">
        <f t="shared" si="14"/>
        <v>645161290.3225807</v>
      </c>
      <c r="H31" s="105">
        <f t="shared" si="15"/>
        <v>769230769.23076928</v>
      </c>
      <c r="I31" s="105">
        <f t="shared" si="16"/>
        <v>615384615.38461542</v>
      </c>
      <c r="J31" s="105">
        <f t="shared" si="17"/>
        <v>615384615.38461542</v>
      </c>
      <c r="K31" s="105">
        <f t="shared" si="18"/>
        <v>689655172.41379309</v>
      </c>
      <c r="L31" s="105">
        <f t="shared" si="19"/>
        <v>689655172.41379309</v>
      </c>
      <c r="M31" s="105">
        <f t="shared" si="20"/>
        <v>620689655.17241383</v>
      </c>
      <c r="N31" s="105">
        <f t="shared" si="11"/>
        <v>8000000000.000001</v>
      </c>
    </row>
    <row r="32" spans="1:17">
      <c r="A32" s="102" t="s">
        <v>113</v>
      </c>
      <c r="B32" s="105">
        <f>B15</f>
        <v>1940000</v>
      </c>
      <c r="C32" s="105">
        <f t="shared" ref="C32:M32" si="21">C15</f>
        <v>1930000</v>
      </c>
      <c r="D32" s="105">
        <f t="shared" si="21"/>
        <v>1790000</v>
      </c>
      <c r="E32" s="105">
        <f t="shared" si="21"/>
        <v>2250000</v>
      </c>
      <c r="F32" s="105">
        <f t="shared" si="21"/>
        <v>1790000</v>
      </c>
      <c r="G32" s="105">
        <f t="shared" si="21"/>
        <v>2220000</v>
      </c>
      <c r="H32" s="105">
        <f t="shared" si="21"/>
        <v>1800000</v>
      </c>
      <c r="I32" s="105">
        <f t="shared" si="21"/>
        <v>2240000</v>
      </c>
      <c r="J32" s="105">
        <f t="shared" si="21"/>
        <v>1890000</v>
      </c>
      <c r="K32" s="105">
        <f t="shared" si="21"/>
        <v>2460000</v>
      </c>
      <c r="L32" s="105">
        <f t="shared" si="21"/>
        <v>2510000</v>
      </c>
      <c r="M32" s="105">
        <f t="shared" si="21"/>
        <v>1950000</v>
      </c>
      <c r="N32" s="105">
        <f t="shared" si="11"/>
        <v>24770000</v>
      </c>
    </row>
    <row r="33" spans="1:14">
      <c r="A33" s="102" t="s">
        <v>23</v>
      </c>
      <c r="B33" s="108">
        <f>SUM(B27:B28,B31:B32)</f>
        <v>941940000</v>
      </c>
      <c r="C33" s="108">
        <f t="shared" ref="C33:M33" si="22">SUM(C27:C28,C31:C32)</f>
        <v>1046374444.4444444</v>
      </c>
      <c r="D33" s="108">
        <f t="shared" si="22"/>
        <v>837345555.55555558</v>
      </c>
      <c r="E33" s="108">
        <f t="shared" si="22"/>
        <v>1006443548.3870969</v>
      </c>
      <c r="F33" s="108">
        <f t="shared" si="22"/>
        <v>914693225.80645168</v>
      </c>
      <c r="G33" s="108">
        <f t="shared" si="22"/>
        <v>915123225.80645168</v>
      </c>
      <c r="H33" s="108">
        <f t="shared" si="22"/>
        <v>1163338461.5384617</v>
      </c>
      <c r="I33" s="108">
        <f t="shared" si="22"/>
        <v>931470769.23076916</v>
      </c>
      <c r="J33" s="108">
        <f t="shared" si="22"/>
        <v>931120769.23076916</v>
      </c>
      <c r="K33" s="108">
        <f t="shared" si="22"/>
        <v>1005908275.8620689</v>
      </c>
      <c r="L33" s="108">
        <f t="shared" si="22"/>
        <v>1005958275.8620689</v>
      </c>
      <c r="M33" s="108">
        <f t="shared" si="22"/>
        <v>905053448.2758621</v>
      </c>
      <c r="N33" s="108">
        <f t="shared" si="11"/>
        <v>11604769999.999998</v>
      </c>
    </row>
    <row r="34" spans="1:14">
      <c r="H34" s="109"/>
      <c r="I34" s="109"/>
      <c r="J34" s="109"/>
    </row>
    <row r="35" spans="1:14">
      <c r="A35" s="102" t="s">
        <v>109</v>
      </c>
      <c r="B35" s="103">
        <v>39814</v>
      </c>
      <c r="C35" s="103">
        <v>39845</v>
      </c>
      <c r="D35" s="103">
        <v>39873</v>
      </c>
      <c r="E35" s="103">
        <v>39904</v>
      </c>
      <c r="F35" s="103">
        <v>39934</v>
      </c>
      <c r="G35" s="103">
        <v>39965</v>
      </c>
      <c r="H35" s="103">
        <v>39995</v>
      </c>
      <c r="I35" s="103">
        <v>40026</v>
      </c>
      <c r="J35" s="103">
        <v>40057</v>
      </c>
      <c r="K35" s="103">
        <v>40087</v>
      </c>
      <c r="L35" s="103">
        <v>40118</v>
      </c>
      <c r="M35" s="103">
        <v>40148</v>
      </c>
      <c r="N35" s="104" t="s">
        <v>47</v>
      </c>
    </row>
    <row r="36" spans="1:14">
      <c r="A36" s="102" t="s">
        <v>56</v>
      </c>
      <c r="B36" s="105">
        <f>B$5*B27/(B$33-B$32)</f>
        <v>709219.85815602832</v>
      </c>
      <c r="C36" s="105">
        <f t="shared" ref="C36:M36" si="23">C$5*C27/(C$33-C$32)</f>
        <v>531914.89361702127</v>
      </c>
      <c r="D36" s="105">
        <f t="shared" si="23"/>
        <v>531914.89361702127</v>
      </c>
      <c r="E36" s="105">
        <f t="shared" si="23"/>
        <v>530035.33568904595</v>
      </c>
      <c r="F36" s="105">
        <f t="shared" si="23"/>
        <v>530035.33568904595</v>
      </c>
      <c r="G36" s="105">
        <f t="shared" si="23"/>
        <v>706713.78091872786</v>
      </c>
      <c r="H36" s="105">
        <f t="shared" si="23"/>
        <v>496688.74172185431</v>
      </c>
      <c r="I36" s="105">
        <f t="shared" si="23"/>
        <v>662251.65562913916</v>
      </c>
      <c r="J36" s="105">
        <f t="shared" si="23"/>
        <v>662251.65562913916</v>
      </c>
      <c r="K36" s="105">
        <f t="shared" si="23"/>
        <v>515463.91752577323</v>
      </c>
      <c r="L36" s="105">
        <f t="shared" si="23"/>
        <v>687285.22336769756</v>
      </c>
      <c r="M36" s="105">
        <f t="shared" si="23"/>
        <v>515463.91752577323</v>
      </c>
      <c r="N36" s="105">
        <f t="shared" ref="N36:N41" si="24">SUM(B36:M36)</f>
        <v>7079239.2090862673</v>
      </c>
    </row>
    <row r="37" spans="1:14">
      <c r="A37" s="102" t="s">
        <v>55</v>
      </c>
      <c r="B37" s="105">
        <f t="shared" ref="B37:M37" si="25">B$5*B28/(B$33-B$32)</f>
        <v>10921985.815602835</v>
      </c>
      <c r="C37" s="105">
        <f t="shared" si="25"/>
        <v>8191489.3617021283</v>
      </c>
      <c r="D37" s="105">
        <f t="shared" si="25"/>
        <v>8191489.3617021265</v>
      </c>
      <c r="E37" s="105">
        <f t="shared" si="25"/>
        <v>8268551.2367491154</v>
      </c>
      <c r="F37" s="105">
        <f t="shared" si="25"/>
        <v>8268551.2367491154</v>
      </c>
      <c r="G37" s="105">
        <f t="shared" si="25"/>
        <v>11024734.982332155</v>
      </c>
      <c r="H37" s="105">
        <f t="shared" si="25"/>
        <v>9635761.589403972</v>
      </c>
      <c r="I37" s="105">
        <f t="shared" si="25"/>
        <v>12847682.119205298</v>
      </c>
      <c r="J37" s="105">
        <f t="shared" si="25"/>
        <v>12847682.119205298</v>
      </c>
      <c r="K37" s="105">
        <f t="shared" si="25"/>
        <v>8865979.3814432994</v>
      </c>
      <c r="L37" s="105">
        <f t="shared" si="25"/>
        <v>11821305.841924401</v>
      </c>
      <c r="M37" s="105">
        <f t="shared" si="25"/>
        <v>8865979.3814432994</v>
      </c>
      <c r="N37" s="105">
        <f t="shared" si="24"/>
        <v>119751192.42746302</v>
      </c>
    </row>
    <row r="38" spans="1:14">
      <c r="A38" s="106" t="s">
        <v>54</v>
      </c>
      <c r="B38" s="107">
        <f t="shared" ref="B38:M38" si="26">B$5*B29/(B$33-B$32)</f>
        <v>992907.8014184396</v>
      </c>
      <c r="C38" s="107">
        <f t="shared" si="26"/>
        <v>744680.85106382973</v>
      </c>
      <c r="D38" s="107">
        <f t="shared" si="26"/>
        <v>744680.85106382985</v>
      </c>
      <c r="E38" s="107">
        <f t="shared" si="26"/>
        <v>848056.53710247332</v>
      </c>
      <c r="F38" s="107">
        <f t="shared" si="26"/>
        <v>848056.53710247343</v>
      </c>
      <c r="G38" s="107">
        <f t="shared" si="26"/>
        <v>1130742.0494699646</v>
      </c>
      <c r="H38" s="107">
        <f t="shared" si="26"/>
        <v>695364.23841059604</v>
      </c>
      <c r="I38" s="107">
        <f t="shared" si="26"/>
        <v>927152.31788079487</v>
      </c>
      <c r="J38" s="107">
        <f t="shared" si="26"/>
        <v>927152.31788079487</v>
      </c>
      <c r="K38" s="107">
        <f t="shared" si="26"/>
        <v>618556.70103092783</v>
      </c>
      <c r="L38" s="107">
        <f t="shared" si="26"/>
        <v>824742.26804123726</v>
      </c>
      <c r="M38" s="107">
        <f t="shared" si="26"/>
        <v>618556.70103092783</v>
      </c>
      <c r="N38" s="107">
        <f t="shared" si="24"/>
        <v>9920649.1714962907</v>
      </c>
    </row>
    <row r="39" spans="1:14">
      <c r="A39" s="106" t="s">
        <v>57</v>
      </c>
      <c r="B39" s="107">
        <f t="shared" ref="B39:M39" si="27">B$5*B30/(B$33-B$32)</f>
        <v>9929078.0141843986</v>
      </c>
      <c r="C39" s="107">
        <f t="shared" si="27"/>
        <v>7446808.5106382985</v>
      </c>
      <c r="D39" s="107">
        <f t="shared" si="27"/>
        <v>7446808.5106382975</v>
      </c>
      <c r="E39" s="107">
        <f t="shared" si="27"/>
        <v>7420494.6996466424</v>
      </c>
      <c r="F39" s="107">
        <f t="shared" si="27"/>
        <v>7420494.6996466424</v>
      </c>
      <c r="G39" s="107">
        <f t="shared" si="27"/>
        <v>9893992.9328621905</v>
      </c>
      <c r="H39" s="107">
        <f t="shared" si="27"/>
        <v>8940397.3509933762</v>
      </c>
      <c r="I39" s="107">
        <f t="shared" si="27"/>
        <v>11920529.801324505</v>
      </c>
      <c r="J39" s="107">
        <f t="shared" si="27"/>
        <v>11920529.801324505</v>
      </c>
      <c r="K39" s="107">
        <f t="shared" si="27"/>
        <v>8247422.6804123716</v>
      </c>
      <c r="L39" s="107">
        <f t="shared" si="27"/>
        <v>10996563.573883161</v>
      </c>
      <c r="M39" s="107">
        <f t="shared" si="27"/>
        <v>8247422.6804123716</v>
      </c>
      <c r="N39" s="107">
        <f t="shared" si="24"/>
        <v>109830543.25596675</v>
      </c>
    </row>
    <row r="40" spans="1:14">
      <c r="A40" s="102" t="s">
        <v>53</v>
      </c>
      <c r="B40" s="105">
        <f t="shared" ref="B40:M40" si="28">B$5*B31/(B$33-B$32)</f>
        <v>28368794.326241132</v>
      </c>
      <c r="C40" s="105">
        <f t="shared" si="28"/>
        <v>21276595.744680852</v>
      </c>
      <c r="D40" s="105">
        <f t="shared" si="28"/>
        <v>21276595.744680852</v>
      </c>
      <c r="E40" s="105">
        <f t="shared" si="28"/>
        <v>21201413.427561834</v>
      </c>
      <c r="F40" s="105">
        <f t="shared" si="28"/>
        <v>21201413.427561838</v>
      </c>
      <c r="G40" s="105">
        <f t="shared" si="28"/>
        <v>28268551.236749116</v>
      </c>
      <c r="H40" s="105">
        <f t="shared" si="28"/>
        <v>19867549.668874171</v>
      </c>
      <c r="I40" s="105">
        <f t="shared" si="28"/>
        <v>26490066.225165565</v>
      </c>
      <c r="J40" s="105">
        <f t="shared" si="28"/>
        <v>26490066.225165565</v>
      </c>
      <c r="K40" s="105">
        <f t="shared" si="28"/>
        <v>20618556.701030929</v>
      </c>
      <c r="L40" s="105">
        <f t="shared" si="28"/>
        <v>27491408.934707906</v>
      </c>
      <c r="M40" s="105">
        <f t="shared" si="28"/>
        <v>20618556.701030929</v>
      </c>
      <c r="N40" s="105">
        <f t="shared" si="24"/>
        <v>283169568.36345071</v>
      </c>
    </row>
    <row r="41" spans="1:14">
      <c r="A41" s="102" t="s">
        <v>23</v>
      </c>
      <c r="B41" s="108">
        <f>SUM(B36:B37,B40)</f>
        <v>40000000</v>
      </c>
      <c r="C41" s="108">
        <f t="shared" ref="C41" si="29">SUM(C36:C37,C40)</f>
        <v>30000000</v>
      </c>
      <c r="D41" s="108">
        <f t="shared" ref="D41" si="30">SUM(D36:D37,D40)</f>
        <v>30000000</v>
      </c>
      <c r="E41" s="108">
        <f>SUM(E36:E37,E40)</f>
        <v>29999999.999999996</v>
      </c>
      <c r="F41" s="108">
        <f t="shared" ref="F41" si="31">SUM(F36:F37,F40)</f>
        <v>30000000</v>
      </c>
      <c r="G41" s="108">
        <f t="shared" ref="G41" si="32">SUM(G36:G37,G40)</f>
        <v>40000000</v>
      </c>
      <c r="H41" s="108">
        <f t="shared" ref="H41" si="33">SUM(H36:H37,H40)</f>
        <v>29999999.999999996</v>
      </c>
      <c r="I41" s="108">
        <f t="shared" ref="I41" si="34">SUM(I36:I37,I40)</f>
        <v>40000000</v>
      </c>
      <c r="J41" s="108">
        <f t="shared" ref="J41" si="35">SUM(J36:J37,J40)</f>
        <v>40000000</v>
      </c>
      <c r="K41" s="108">
        <f t="shared" ref="K41" si="36">SUM(K36:K37,K40)</f>
        <v>30000000</v>
      </c>
      <c r="L41" s="108">
        <f t="shared" ref="L41" si="37">SUM(L36:L37,L40)</f>
        <v>40000000</v>
      </c>
      <c r="M41" s="108">
        <f t="shared" ref="M41" si="38">SUM(M36:M37,M40)</f>
        <v>30000000</v>
      </c>
      <c r="N41" s="108">
        <f t="shared" si="24"/>
        <v>410000000</v>
      </c>
    </row>
    <row r="43" spans="1:14">
      <c r="A43" s="102" t="s">
        <v>110</v>
      </c>
      <c r="B43" s="103">
        <v>39814</v>
      </c>
      <c r="C43" s="103">
        <v>39845</v>
      </c>
      <c r="D43" s="103">
        <v>39873</v>
      </c>
      <c r="E43" s="103">
        <v>39904</v>
      </c>
      <c r="F43" s="103">
        <v>39934</v>
      </c>
      <c r="G43" s="103">
        <v>39965</v>
      </c>
      <c r="H43" s="103">
        <v>39995</v>
      </c>
      <c r="I43" s="103">
        <v>40026</v>
      </c>
      <c r="J43" s="103">
        <v>40057</v>
      </c>
      <c r="K43" s="103">
        <v>40087</v>
      </c>
      <c r="L43" s="103">
        <v>40118</v>
      </c>
      <c r="M43" s="103">
        <v>40148</v>
      </c>
      <c r="N43" s="104" t="s">
        <v>47</v>
      </c>
    </row>
    <row r="44" spans="1:14">
      <c r="A44" s="102" t="s">
        <v>56</v>
      </c>
      <c r="B44" s="105">
        <f t="shared" ref="B44:J44" si="39">B$4*B27/(B$33-B$32)</f>
        <v>35460.992907801417</v>
      </c>
      <c r="C44" s="105">
        <f t="shared" si="39"/>
        <v>53191.48936170213</v>
      </c>
      <c r="D44" s="105">
        <f t="shared" si="39"/>
        <v>53191.48936170213</v>
      </c>
      <c r="E44" s="105">
        <f t="shared" si="39"/>
        <v>53003.53356890459</v>
      </c>
      <c r="F44" s="105">
        <f t="shared" si="39"/>
        <v>35335.689045936393</v>
      </c>
      <c r="G44" s="105">
        <f t="shared" si="39"/>
        <v>53003.53356890459</v>
      </c>
      <c r="H44" s="105">
        <f t="shared" si="39"/>
        <v>49668.874172185424</v>
      </c>
      <c r="I44" s="105">
        <f t="shared" si="39"/>
        <v>33112.582781456957</v>
      </c>
      <c r="J44" s="105">
        <f t="shared" si="39"/>
        <v>49668.874172185431</v>
      </c>
      <c r="K44" s="105">
        <f>K$4*K27/(K$33-K$32)</f>
        <v>51546.391752577314</v>
      </c>
      <c r="L44" s="105">
        <f t="shared" ref="L44:M44" si="40">L$4*L27/(L$33-L$32)</f>
        <v>51546.391752577314</v>
      </c>
      <c r="M44" s="105">
        <f t="shared" si="40"/>
        <v>51546.391752577321</v>
      </c>
      <c r="N44" s="105">
        <f t="shared" ref="N44:N49" si="41">SUM(B44:M44)</f>
        <v>570276.234198511</v>
      </c>
    </row>
    <row r="45" spans="1:14">
      <c r="A45" s="102" t="s">
        <v>55</v>
      </c>
      <c r="B45" s="105">
        <f t="shared" ref="B45:M45" si="42">B$4*B28/(B$33-B$32)</f>
        <v>546099.29078014183</v>
      </c>
      <c r="C45" s="105">
        <f t="shared" si="42"/>
        <v>819148.93617021281</v>
      </c>
      <c r="D45" s="105">
        <f t="shared" si="42"/>
        <v>819148.93617021281</v>
      </c>
      <c r="E45" s="105">
        <f t="shared" si="42"/>
        <v>826855.12367491168</v>
      </c>
      <c r="F45" s="105">
        <f t="shared" si="42"/>
        <v>551236.74911660771</v>
      </c>
      <c r="G45" s="105">
        <f t="shared" si="42"/>
        <v>826855.12367491168</v>
      </c>
      <c r="H45" s="105">
        <f t="shared" si="42"/>
        <v>963576.1589403972</v>
      </c>
      <c r="I45" s="105">
        <f t="shared" si="42"/>
        <v>642384.10596026492</v>
      </c>
      <c r="J45" s="105">
        <f t="shared" si="42"/>
        <v>963576.15894039732</v>
      </c>
      <c r="K45" s="105">
        <f t="shared" si="42"/>
        <v>886597.93814432994</v>
      </c>
      <c r="L45" s="105">
        <f t="shared" si="42"/>
        <v>886597.93814432994</v>
      </c>
      <c r="M45" s="105">
        <f t="shared" si="42"/>
        <v>886597.93814432982</v>
      </c>
      <c r="N45" s="105">
        <f t="shared" si="41"/>
        <v>9618674.3978610486</v>
      </c>
    </row>
    <row r="46" spans="1:14">
      <c r="A46" s="106" t="s">
        <v>54</v>
      </c>
      <c r="B46" s="107">
        <f t="shared" ref="B46:M46" si="43">B$4*B29/(B$33-B$32)</f>
        <v>49645.390070921982</v>
      </c>
      <c r="C46" s="107">
        <f t="shared" si="43"/>
        <v>74468.08510638299</v>
      </c>
      <c r="D46" s="107">
        <f t="shared" si="43"/>
        <v>74468.085106382976</v>
      </c>
      <c r="E46" s="107">
        <f t="shared" si="43"/>
        <v>84805.653710247338</v>
      </c>
      <c r="F46" s="107">
        <f t="shared" si="43"/>
        <v>56537.102473498227</v>
      </c>
      <c r="G46" s="107">
        <f t="shared" si="43"/>
        <v>84805.653710247338</v>
      </c>
      <c r="H46" s="107">
        <f t="shared" si="43"/>
        <v>69536.423841059586</v>
      </c>
      <c r="I46" s="107">
        <f t="shared" si="43"/>
        <v>46357.615894039744</v>
      </c>
      <c r="J46" s="107">
        <f t="shared" si="43"/>
        <v>69536.423841059615</v>
      </c>
      <c r="K46" s="107">
        <f t="shared" si="43"/>
        <v>61855.670103092787</v>
      </c>
      <c r="L46" s="107">
        <f t="shared" si="43"/>
        <v>61855.670103092787</v>
      </c>
      <c r="M46" s="107">
        <f t="shared" si="43"/>
        <v>61855.67010309278</v>
      </c>
      <c r="N46" s="107">
        <f t="shared" si="41"/>
        <v>795727.44406311808</v>
      </c>
    </row>
    <row r="47" spans="1:14">
      <c r="A47" s="106" t="s">
        <v>57</v>
      </c>
      <c r="B47" s="107">
        <f t="shared" ref="B47:M47" si="44">B$4*B30/(B$33-B$32)</f>
        <v>496453.90070921986</v>
      </c>
      <c r="C47" s="107">
        <f t="shared" si="44"/>
        <v>744680.85106382973</v>
      </c>
      <c r="D47" s="107">
        <f t="shared" si="44"/>
        <v>744680.85106382985</v>
      </c>
      <c r="E47" s="107">
        <f t="shared" si="44"/>
        <v>742049.4699646642</v>
      </c>
      <c r="F47" s="107">
        <f t="shared" si="44"/>
        <v>494699.64664310956</v>
      </c>
      <c r="G47" s="107">
        <f t="shared" si="44"/>
        <v>742049.46996466431</v>
      </c>
      <c r="H47" s="107">
        <f t="shared" si="44"/>
        <v>894039.73509933753</v>
      </c>
      <c r="I47" s="107">
        <f t="shared" si="44"/>
        <v>596026.49006622529</v>
      </c>
      <c r="J47" s="107">
        <f t="shared" si="44"/>
        <v>894039.73509933776</v>
      </c>
      <c r="K47" s="107">
        <f t="shared" si="44"/>
        <v>824742.26804123702</v>
      </c>
      <c r="L47" s="107">
        <f t="shared" si="44"/>
        <v>824742.26804123702</v>
      </c>
      <c r="M47" s="107">
        <f t="shared" si="44"/>
        <v>824742.26804123714</v>
      </c>
      <c r="N47" s="107">
        <f t="shared" si="41"/>
        <v>8822946.9537979309</v>
      </c>
    </row>
    <row r="48" spans="1:14">
      <c r="A48" s="102" t="s">
        <v>53</v>
      </c>
      <c r="B48" s="105">
        <f t="shared" ref="B48:M48" si="45">B$4*B31/(B$33-B$32)</f>
        <v>1418439.7163120566</v>
      </c>
      <c r="C48" s="105">
        <f t="shared" si="45"/>
        <v>2127659.5744680851</v>
      </c>
      <c r="D48" s="105">
        <f t="shared" si="45"/>
        <v>2127659.5744680851</v>
      </c>
      <c r="E48" s="105">
        <f t="shared" si="45"/>
        <v>2120141.3427561838</v>
      </c>
      <c r="F48" s="105">
        <f t="shared" si="45"/>
        <v>1413427.561837456</v>
      </c>
      <c r="G48" s="105">
        <f t="shared" si="45"/>
        <v>2120141.3427561838</v>
      </c>
      <c r="H48" s="105">
        <f t="shared" si="45"/>
        <v>1986754.9668874172</v>
      </c>
      <c r="I48" s="105">
        <f t="shared" si="45"/>
        <v>1324503.3112582783</v>
      </c>
      <c r="J48" s="105">
        <f t="shared" si="45"/>
        <v>1986754.9668874175</v>
      </c>
      <c r="K48" s="105">
        <f t="shared" si="45"/>
        <v>2061855.6701030929</v>
      </c>
      <c r="L48" s="105">
        <f t="shared" si="45"/>
        <v>2061855.6701030929</v>
      </c>
      <c r="M48" s="105">
        <f t="shared" si="45"/>
        <v>2061855.6701030929</v>
      </c>
      <c r="N48" s="105">
        <f t="shared" si="41"/>
        <v>22811049.367940441</v>
      </c>
    </row>
    <row r="49" spans="1:17">
      <c r="A49" s="102" t="s">
        <v>23</v>
      </c>
      <c r="B49" s="108">
        <f>SUM(B44:B45,B48)</f>
        <v>2000000</v>
      </c>
      <c r="C49" s="108">
        <f t="shared" ref="C49" si="46">SUM(C44:C45,C48)</f>
        <v>3000000</v>
      </c>
      <c r="D49" s="108">
        <f t="shared" ref="D49" si="47">SUM(D44:D45,D48)</f>
        <v>3000000</v>
      </c>
      <c r="E49" s="108">
        <f>SUM(E44:E45,E48)</f>
        <v>3000000</v>
      </c>
      <c r="F49" s="108">
        <f t="shared" ref="F49" si="48">SUM(F44:F45,F48)</f>
        <v>2000000</v>
      </c>
      <c r="G49" s="108">
        <f t="shared" ref="G49" si="49">SUM(G44:G45,G48)</f>
        <v>3000000</v>
      </c>
      <c r="H49" s="108">
        <f t="shared" ref="H49" si="50">SUM(H44:H45,H48)</f>
        <v>3000000</v>
      </c>
      <c r="I49" s="108">
        <f t="shared" ref="I49" si="51">SUM(I44:I45,I48)</f>
        <v>2000000.0000000002</v>
      </c>
      <c r="J49" s="108">
        <f t="shared" ref="J49" si="52">SUM(J44:J45,J48)</f>
        <v>3000000</v>
      </c>
      <c r="K49" s="108">
        <f t="shared" ref="K49" si="53">SUM(K44:K45,K48)</f>
        <v>3000000</v>
      </c>
      <c r="L49" s="108">
        <f t="shared" ref="L49" si="54">SUM(L44:L45,L48)</f>
        <v>3000000</v>
      </c>
      <c r="M49" s="108">
        <f t="shared" ref="M49" si="55">SUM(M44:M45,M48)</f>
        <v>3000000</v>
      </c>
      <c r="N49" s="108">
        <f t="shared" si="41"/>
        <v>33000000</v>
      </c>
    </row>
    <row r="51" spans="1:17">
      <c r="A51" s="114" t="s">
        <v>111</v>
      </c>
      <c r="B51" s="114">
        <v>39814</v>
      </c>
      <c r="C51" s="114">
        <v>39845</v>
      </c>
      <c r="D51" s="114">
        <v>39873</v>
      </c>
      <c r="E51" s="114">
        <v>39904</v>
      </c>
      <c r="F51" s="114">
        <v>39934</v>
      </c>
      <c r="G51" s="114">
        <v>39965</v>
      </c>
      <c r="H51" s="114">
        <v>39995</v>
      </c>
      <c r="I51" s="114">
        <v>40026</v>
      </c>
      <c r="J51" s="114">
        <v>40057</v>
      </c>
      <c r="K51" s="114">
        <v>40087</v>
      </c>
      <c r="L51" s="114">
        <v>40118</v>
      </c>
      <c r="M51" s="114">
        <v>40148</v>
      </c>
      <c r="N51" s="115" t="s">
        <v>47</v>
      </c>
    </row>
    <row r="52" spans="1:17">
      <c r="A52" s="102" t="s">
        <v>56</v>
      </c>
      <c r="B52" s="105">
        <f>B27+B36+B44</f>
        <v>17411347.517730493</v>
      </c>
      <c r="C52" s="105">
        <f t="shared" ref="C52:M52" si="56">C27+C36+C44</f>
        <v>19103624.901497245</v>
      </c>
      <c r="D52" s="105">
        <f t="shared" si="56"/>
        <v>15399921.197793538</v>
      </c>
      <c r="E52" s="105">
        <f t="shared" si="56"/>
        <v>18324974.353128918</v>
      </c>
      <c r="F52" s="105">
        <f t="shared" si="56"/>
        <v>16694403.282799497</v>
      </c>
      <c r="G52" s="105">
        <f t="shared" si="56"/>
        <v>16888749.572552148</v>
      </c>
      <c r="H52" s="105">
        <f t="shared" si="56"/>
        <v>19777126.84666327</v>
      </c>
      <c r="I52" s="105">
        <f t="shared" si="56"/>
        <v>16079979.62302598</v>
      </c>
      <c r="J52" s="105">
        <f t="shared" si="56"/>
        <v>16096535.914416708</v>
      </c>
      <c r="K52" s="105">
        <f t="shared" si="56"/>
        <v>17808389.619623177</v>
      </c>
      <c r="L52" s="105">
        <f t="shared" si="56"/>
        <v>17980210.925465103</v>
      </c>
      <c r="M52" s="105">
        <f t="shared" si="56"/>
        <v>16084251.688588696</v>
      </c>
      <c r="N52" s="105">
        <f t="shared" ref="N52:N57" si="57">SUM(B52:M52)</f>
        <v>207649515.44328478</v>
      </c>
    </row>
    <row r="53" spans="1:17">
      <c r="A53" s="102" t="s">
        <v>55</v>
      </c>
      <c r="B53" s="105">
        <f t="shared" ref="B53:M53" si="58">B28+B37+B45</f>
        <v>268134751.77304962</v>
      </c>
      <c r="C53" s="105">
        <f t="shared" si="58"/>
        <v>294195823.48305756</v>
      </c>
      <c r="D53" s="105">
        <f t="shared" si="58"/>
        <v>237158786.44602048</v>
      </c>
      <c r="E53" s="105">
        <f t="shared" si="58"/>
        <v>285869599.90881115</v>
      </c>
      <c r="F53" s="105">
        <f t="shared" si="58"/>
        <v>260432691.21167216</v>
      </c>
      <c r="G53" s="105">
        <f t="shared" si="58"/>
        <v>263464493.33181348</v>
      </c>
      <c r="H53" s="105">
        <f t="shared" si="58"/>
        <v>383676260.82526743</v>
      </c>
      <c r="I53" s="105">
        <f t="shared" si="58"/>
        <v>311951604.68670398</v>
      </c>
      <c r="J53" s="105">
        <f t="shared" si="58"/>
        <v>312272796.7396841</v>
      </c>
      <c r="K53" s="105">
        <f t="shared" si="58"/>
        <v>306304301.4575187</v>
      </c>
      <c r="L53" s="105">
        <f t="shared" si="58"/>
        <v>309259627.9179998</v>
      </c>
      <c r="M53" s="105">
        <f t="shared" si="58"/>
        <v>276649129.04372555</v>
      </c>
      <c r="N53" s="105">
        <f t="shared" si="57"/>
        <v>3509369866.8253241</v>
      </c>
    </row>
    <row r="54" spans="1:17">
      <c r="A54" s="106" t="s">
        <v>54</v>
      </c>
      <c r="B54" s="107">
        <f t="shared" ref="B54:M54" si="59">B29+B38+B46</f>
        <v>24375886.524822693</v>
      </c>
      <c r="C54" s="107">
        <f t="shared" si="59"/>
        <v>26745074.862096138</v>
      </c>
      <c r="D54" s="107">
        <f t="shared" si="59"/>
        <v>21559889.676910955</v>
      </c>
      <c r="E54" s="107">
        <f t="shared" si="59"/>
        <v>29319958.965006266</v>
      </c>
      <c r="F54" s="107">
        <f t="shared" si="59"/>
        <v>26711045.252479196</v>
      </c>
      <c r="G54" s="107">
        <f t="shared" si="59"/>
        <v>27021999.316083439</v>
      </c>
      <c r="H54" s="107">
        <f t="shared" si="59"/>
        <v>27687977.585328579</v>
      </c>
      <c r="I54" s="107">
        <f t="shared" si="59"/>
        <v>22511971.472236373</v>
      </c>
      <c r="J54" s="107">
        <f t="shared" si="59"/>
        <v>22535150.280183394</v>
      </c>
      <c r="K54" s="107">
        <f t="shared" si="59"/>
        <v>21370067.543547813</v>
      </c>
      <c r="L54" s="107">
        <f t="shared" si="59"/>
        <v>21576253.110558122</v>
      </c>
      <c r="M54" s="107">
        <f t="shared" si="59"/>
        <v>19301102.026306435</v>
      </c>
      <c r="N54" s="107">
        <f t="shared" si="57"/>
        <v>290716376.6155594</v>
      </c>
    </row>
    <row r="55" spans="1:17">
      <c r="A55" s="106" t="s">
        <v>57</v>
      </c>
      <c r="B55" s="107">
        <f t="shared" ref="B55:M55" si="60">B30+B39+B47</f>
        <v>243758865.24822694</v>
      </c>
      <c r="C55" s="107">
        <f t="shared" si="60"/>
        <v>267450748.62096137</v>
      </c>
      <c r="D55" s="107">
        <f t="shared" si="60"/>
        <v>215598896.76910952</v>
      </c>
      <c r="E55" s="107">
        <f t="shared" si="60"/>
        <v>256549640.94380486</v>
      </c>
      <c r="F55" s="107">
        <f t="shared" si="60"/>
        <v>233721645.95919299</v>
      </c>
      <c r="G55" s="107">
        <f t="shared" si="60"/>
        <v>236442494.01573008</v>
      </c>
      <c r="H55" s="107">
        <f t="shared" si="60"/>
        <v>355988283.23993886</v>
      </c>
      <c r="I55" s="107">
        <f t="shared" si="60"/>
        <v>289439633.21446764</v>
      </c>
      <c r="J55" s="107">
        <f t="shared" si="60"/>
        <v>289737646.45950073</v>
      </c>
      <c r="K55" s="107">
        <f t="shared" si="60"/>
        <v>284934233.91397083</v>
      </c>
      <c r="L55" s="107">
        <f t="shared" si="60"/>
        <v>287683374.80744165</v>
      </c>
      <c r="M55" s="107">
        <f t="shared" si="60"/>
        <v>257348027.01741913</v>
      </c>
      <c r="N55" s="107">
        <f t="shared" si="57"/>
        <v>3218653490.209765</v>
      </c>
    </row>
    <row r="56" spans="1:17">
      <c r="A56" s="102" t="s">
        <v>122</v>
      </c>
      <c r="B56" s="105">
        <f>B31+B40+B48+B32</f>
        <v>698393900.70921981</v>
      </c>
      <c r="C56" s="105">
        <f t="shared" ref="C56:M56" si="61">C31+C40+C48+C32</f>
        <v>766074996.05988979</v>
      </c>
      <c r="D56" s="105">
        <f t="shared" si="61"/>
        <v>617786847.91174161</v>
      </c>
      <c r="E56" s="105">
        <f t="shared" si="61"/>
        <v>735248974.12515676</v>
      </c>
      <c r="F56" s="105">
        <f t="shared" si="61"/>
        <v>669566131.31198001</v>
      </c>
      <c r="G56" s="105">
        <f t="shared" si="61"/>
        <v>677769982.90208602</v>
      </c>
      <c r="H56" s="105">
        <f t="shared" si="61"/>
        <v>792885073.8665309</v>
      </c>
      <c r="I56" s="105">
        <f t="shared" si="61"/>
        <v>645439184.92103934</v>
      </c>
      <c r="J56" s="105">
        <f t="shared" si="61"/>
        <v>645751436.5766685</v>
      </c>
      <c r="K56" s="105">
        <f t="shared" si="61"/>
        <v>714795584.78492713</v>
      </c>
      <c r="L56" s="105">
        <f t="shared" si="61"/>
        <v>721718437.01860404</v>
      </c>
      <c r="M56" s="105">
        <f t="shared" si="61"/>
        <v>645320067.54354787</v>
      </c>
      <c r="N56" s="105">
        <f t="shared" si="57"/>
        <v>8330750617.7313938</v>
      </c>
    </row>
    <row r="57" spans="1:17">
      <c r="A57" s="102" t="s">
        <v>23</v>
      </c>
      <c r="B57" s="108">
        <f>SUM(B52:B53,B56)</f>
        <v>983940000</v>
      </c>
      <c r="C57" s="108">
        <f t="shared" ref="C57" si="62">SUM(C52:C53,C56)</f>
        <v>1079374444.4444447</v>
      </c>
      <c r="D57" s="108">
        <f t="shared" ref="D57" si="63">SUM(D52:D53,D56)</f>
        <v>870345555.55555558</v>
      </c>
      <c r="E57" s="108">
        <f>SUM(E52:E53,E56)</f>
        <v>1039443548.3870969</v>
      </c>
      <c r="F57" s="108">
        <f t="shared" ref="F57" si="64">SUM(F52:F53,F56)</f>
        <v>946693225.80645168</v>
      </c>
      <c r="G57" s="108">
        <f t="shared" ref="G57" si="65">SUM(G52:G53,G56)</f>
        <v>958123225.80645168</v>
      </c>
      <c r="H57" s="108">
        <f t="shared" ref="H57" si="66">SUM(H52:H53,H56)</f>
        <v>1196338461.5384617</v>
      </c>
      <c r="I57" s="108">
        <f t="shared" ref="I57" si="67">SUM(I52:I53,I56)</f>
        <v>973470769.23076928</v>
      </c>
      <c r="J57" s="108">
        <f t="shared" ref="J57" si="68">SUM(J52:J53,J56)</f>
        <v>974120769.2307694</v>
      </c>
      <c r="K57" s="108">
        <f t="shared" ref="K57" si="69">SUM(K52:K53,K56)</f>
        <v>1038908275.862069</v>
      </c>
      <c r="L57" s="108">
        <f t="shared" ref="L57" si="70">SUM(L52:L53,L56)</f>
        <v>1048958275.8620689</v>
      </c>
      <c r="M57" s="108">
        <f t="shared" ref="M57" si="71">SUM(M52:M53,M56)</f>
        <v>938053448.2758621</v>
      </c>
      <c r="N57" s="108">
        <f t="shared" si="57"/>
        <v>12047769999.999998</v>
      </c>
    </row>
    <row r="58" spans="1:17">
      <c r="A58" s="294" t="s">
        <v>300</v>
      </c>
      <c r="B58" s="59">
        <f>B27+B28+B31+B41+B49</f>
        <v>982000000</v>
      </c>
      <c r="C58" s="59">
        <f t="shared" ref="C58:M58" si="72">C27+C28+C31+C41+C49</f>
        <v>1077444444.4444444</v>
      </c>
      <c r="D58" s="59">
        <f t="shared" si="72"/>
        <v>868555555.55555558</v>
      </c>
      <c r="E58" s="59">
        <f t="shared" si="72"/>
        <v>1037193548.3870969</v>
      </c>
      <c r="F58" s="59">
        <f t="shared" si="72"/>
        <v>944903225.80645168</v>
      </c>
      <c r="G58" s="59">
        <f t="shared" si="72"/>
        <v>955903225.80645168</v>
      </c>
      <c r="H58" s="59">
        <f t="shared" si="72"/>
        <v>1194538461.5384617</v>
      </c>
      <c r="I58" s="59">
        <f t="shared" si="72"/>
        <v>971230769.23076916</v>
      </c>
      <c r="J58" s="59">
        <f t="shared" si="72"/>
        <v>972230769.23076916</v>
      </c>
      <c r="K58" s="59">
        <f t="shared" si="72"/>
        <v>1036448275.8620689</v>
      </c>
      <c r="L58" s="59">
        <f t="shared" si="72"/>
        <v>1046448275.8620689</v>
      </c>
      <c r="M58" s="59">
        <f t="shared" si="72"/>
        <v>936103448.2758621</v>
      </c>
    </row>
    <row r="59" spans="1:17">
      <c r="A59" s="121" t="s">
        <v>118</v>
      </c>
      <c r="B59" s="119">
        <v>39814</v>
      </c>
      <c r="C59" s="119">
        <v>39845</v>
      </c>
      <c r="D59" s="119">
        <v>39873</v>
      </c>
      <c r="E59" s="119">
        <v>39904</v>
      </c>
      <c r="F59" s="119">
        <v>39934</v>
      </c>
      <c r="G59" s="119">
        <v>39965</v>
      </c>
      <c r="H59" s="119">
        <v>39995</v>
      </c>
      <c r="I59" s="119">
        <v>40026</v>
      </c>
      <c r="J59" s="119">
        <v>40057</v>
      </c>
      <c r="K59" s="119">
        <v>40087</v>
      </c>
      <c r="L59" s="119">
        <v>40118</v>
      </c>
      <c r="M59" s="119">
        <v>40148</v>
      </c>
      <c r="N59" s="120" t="s">
        <v>47</v>
      </c>
    </row>
    <row r="60" spans="1:17">
      <c r="A60" s="102" t="s">
        <v>90</v>
      </c>
      <c r="B60" s="307">
        <v>6000000</v>
      </c>
      <c r="C60" s="307">
        <v>6000000</v>
      </c>
      <c r="D60" s="307">
        <v>7000000</v>
      </c>
      <c r="E60" s="307">
        <v>7000000</v>
      </c>
      <c r="F60" s="307">
        <v>7000000</v>
      </c>
      <c r="G60" s="307">
        <v>6000000</v>
      </c>
      <c r="H60" s="307">
        <v>6000000</v>
      </c>
      <c r="I60" s="307">
        <v>6000000</v>
      </c>
      <c r="J60" s="307">
        <v>7000000</v>
      </c>
      <c r="K60" s="307">
        <v>6000000</v>
      </c>
      <c r="L60" s="307">
        <v>7000000</v>
      </c>
      <c r="M60" s="307">
        <v>6000000</v>
      </c>
      <c r="N60" s="108">
        <f t="shared" ref="N60" si="73">SUM(B60:M60)</f>
        <v>77000000</v>
      </c>
      <c r="Q60" s="59"/>
    </row>
    <row r="62" spans="1:17">
      <c r="B62" s="59"/>
      <c r="C62" s="59" t="s">
        <v>124</v>
      </c>
      <c r="D62" t="s">
        <v>125</v>
      </c>
      <c r="E62" t="s">
        <v>126</v>
      </c>
    </row>
    <row r="63" spans="1:17">
      <c r="B63" t="s">
        <v>90</v>
      </c>
      <c r="C63" s="59">
        <f>F52</f>
        <v>16694403.282799497</v>
      </c>
      <c r="D63" s="59">
        <f>C63/20</f>
        <v>834720.16413997486</v>
      </c>
      <c r="E63" s="59">
        <f>D63*10%</f>
        <v>83472.016413997495</v>
      </c>
    </row>
    <row r="64" spans="1:17">
      <c r="B64" t="s">
        <v>123</v>
      </c>
      <c r="C64" s="59">
        <f>F56</f>
        <v>669566131.31198001</v>
      </c>
      <c r="D64" s="59">
        <f t="shared" ref="D64:D65" si="74">C64/20</f>
        <v>33478306.565599002</v>
      </c>
      <c r="E64" s="59">
        <f t="shared" ref="E64:E65" si="75">D64*10%</f>
        <v>3347830.6565599004</v>
      </c>
    </row>
    <row r="65" spans="2:5">
      <c r="B65" t="s">
        <v>23</v>
      </c>
      <c r="C65" s="59">
        <f>SUM(C63:C64)</f>
        <v>686260534.59477949</v>
      </c>
      <c r="D65" s="59">
        <f t="shared" si="74"/>
        <v>34313026.729738973</v>
      </c>
      <c r="E65" s="59">
        <f t="shared" si="75"/>
        <v>3431302.6729738973</v>
      </c>
    </row>
  </sheetData>
  <mergeCells count="28">
    <mergeCell ref="K24:M24"/>
    <mergeCell ref="K18:M18"/>
    <mergeCell ref="K19:M19"/>
    <mergeCell ref="K20:M20"/>
    <mergeCell ref="K21:M21"/>
    <mergeCell ref="K22:M22"/>
    <mergeCell ref="K23:M23"/>
    <mergeCell ref="E24:G24"/>
    <mergeCell ref="H18:J18"/>
    <mergeCell ref="H19:J19"/>
    <mergeCell ref="H20:J20"/>
    <mergeCell ref="H21:J21"/>
    <mergeCell ref="H22:J22"/>
    <mergeCell ref="H23:J23"/>
    <mergeCell ref="H24:J24"/>
    <mergeCell ref="E18:G18"/>
    <mergeCell ref="E19:G19"/>
    <mergeCell ref="E20:G20"/>
    <mergeCell ref="E21:G21"/>
    <mergeCell ref="E22:G22"/>
    <mergeCell ref="E23:G23"/>
    <mergeCell ref="B23:D23"/>
    <mergeCell ref="B24:D24"/>
    <mergeCell ref="B18:D18"/>
    <mergeCell ref="B19:D19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C15"/>
  <sheetViews>
    <sheetView zoomScaleNormal="100" zoomScaleSheetLayoutView="100" workbookViewId="0"/>
  </sheetViews>
  <sheetFormatPr baseColWidth="10" defaultRowHeight="15"/>
  <cols>
    <col min="1" max="1" width="26.28515625" style="1" customWidth="1"/>
    <col min="2" max="2" width="30.28515625" style="1" customWidth="1"/>
    <col min="3" max="3" width="23.28515625" customWidth="1"/>
  </cols>
  <sheetData>
    <row r="2" spans="2:3" ht="3" customHeight="1"/>
    <row r="3" spans="2:3" ht="39" customHeight="1"/>
    <row r="5" spans="2:3" ht="15.75">
      <c r="B5" s="2" t="s">
        <v>0</v>
      </c>
      <c r="C5" s="2" t="s">
        <v>1</v>
      </c>
    </row>
    <row r="6" spans="2:3" ht="3" customHeight="1">
      <c r="B6" s="3"/>
      <c r="C6" s="3"/>
    </row>
    <row r="7" spans="2:3" ht="31.5">
      <c r="B7" s="4" t="s">
        <v>2</v>
      </c>
      <c r="C7" s="4" t="s">
        <v>3</v>
      </c>
    </row>
    <row r="8" spans="2:3" ht="31.5">
      <c r="B8" s="5" t="s">
        <v>4</v>
      </c>
      <c r="C8" s="5" t="s">
        <v>5</v>
      </c>
    </row>
    <row r="15" spans="2:3">
      <c r="B15" s="63"/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2:D18"/>
  <sheetViews>
    <sheetView zoomScaleNormal="100" zoomScaleSheetLayoutView="100" workbookViewId="0"/>
  </sheetViews>
  <sheetFormatPr baseColWidth="10" defaultRowHeight="15.75"/>
  <cols>
    <col min="1" max="1" width="28.28515625" style="6" customWidth="1"/>
    <col min="2" max="2" width="17" style="6" customWidth="1"/>
    <col min="3" max="3" width="26.28515625" style="6" customWidth="1"/>
    <col min="4" max="4" width="40.85546875" style="6" customWidth="1"/>
    <col min="5" max="16384" width="11.42578125" style="6"/>
  </cols>
  <sheetData>
    <row r="2" spans="1:4" ht="31.5">
      <c r="C2" s="2" t="s">
        <v>6</v>
      </c>
      <c r="D2" s="2" t="s">
        <v>7</v>
      </c>
    </row>
    <row r="3" spans="1:4" ht="3" customHeight="1">
      <c r="C3" s="7"/>
      <c r="D3" s="7"/>
    </row>
    <row r="4" spans="1:4">
      <c r="C4" s="8" t="s">
        <v>8</v>
      </c>
      <c r="D4" s="9" t="s">
        <v>9</v>
      </c>
    </row>
    <row r="5" spans="1:4">
      <c r="C5" s="325" t="s">
        <v>10</v>
      </c>
      <c r="D5" s="10" t="s">
        <v>11</v>
      </c>
    </row>
    <row r="6" spans="1:4" ht="31.5">
      <c r="C6" s="326"/>
      <c r="D6" s="11" t="s">
        <v>12</v>
      </c>
    </row>
    <row r="7" spans="1:4">
      <c r="C7" s="325" t="s">
        <v>13</v>
      </c>
      <c r="D7" s="10" t="s">
        <v>14</v>
      </c>
    </row>
    <row r="8" spans="1:4">
      <c r="C8" s="327"/>
      <c r="D8" s="12" t="s">
        <v>15</v>
      </c>
    </row>
    <row r="9" spans="1:4">
      <c r="C9" s="326"/>
      <c r="D9" s="13" t="s">
        <v>16</v>
      </c>
    </row>
    <row r="10" spans="1:4">
      <c r="C10" s="325" t="s">
        <v>17</v>
      </c>
      <c r="D10" s="10" t="s">
        <v>18</v>
      </c>
    </row>
    <row r="11" spans="1:4">
      <c r="C11" s="327"/>
      <c r="D11" s="12" t="s">
        <v>19</v>
      </c>
    </row>
    <row r="12" spans="1:4">
      <c r="C12" s="327"/>
      <c r="D12" s="12" t="s">
        <v>20</v>
      </c>
    </row>
    <row r="13" spans="1:4">
      <c r="C13" s="326"/>
      <c r="D13" s="13" t="s">
        <v>21</v>
      </c>
    </row>
    <row r="16" spans="1:4">
      <c r="A16" s="14"/>
    </row>
    <row r="17" spans="1:1">
      <c r="A17" s="14"/>
    </row>
    <row r="18" spans="1:1">
      <c r="A18" s="14"/>
    </row>
  </sheetData>
  <mergeCells count="3">
    <mergeCell ref="C5:C6"/>
    <mergeCell ref="C7:C9"/>
    <mergeCell ref="C10:C13"/>
  </mergeCells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K41"/>
  <sheetViews>
    <sheetView zoomScaleNormal="100" zoomScaleSheetLayoutView="100" workbookViewId="0">
      <selection activeCell="E4" sqref="E4:E6"/>
    </sheetView>
  </sheetViews>
  <sheetFormatPr baseColWidth="10" defaultColWidth="14.85546875" defaultRowHeight="15.75"/>
  <cols>
    <col min="1" max="1" width="14.85546875" style="14"/>
    <col min="2" max="2" width="8.7109375" style="14" customWidth="1"/>
    <col min="3" max="3" width="14.28515625" style="14" customWidth="1"/>
    <col min="4" max="4" width="20.7109375" style="14" bestFit="1" customWidth="1"/>
    <col min="5" max="5" width="17.85546875" style="14" customWidth="1"/>
    <col min="6" max="6" width="19.140625" style="14" customWidth="1"/>
    <col min="7" max="7" width="18.5703125" style="14" customWidth="1"/>
    <col min="8" max="8" width="13.7109375" style="14" customWidth="1"/>
    <col min="9" max="9" width="12.85546875" style="14" customWidth="1"/>
    <col min="10" max="10" width="19.42578125" style="14" customWidth="1"/>
    <col min="11" max="11" width="18.5703125" style="14" customWidth="1"/>
    <col min="12" max="16384" width="14.85546875" style="14"/>
  </cols>
  <sheetData>
    <row r="1" spans="1:11">
      <c r="A1" s="16"/>
      <c r="B1" s="16"/>
      <c r="C1" s="15"/>
      <c r="D1" s="15"/>
      <c r="E1" s="17"/>
      <c r="F1" s="17"/>
      <c r="G1" s="17"/>
    </row>
    <row r="2" spans="1:11" ht="31.5">
      <c r="B2" s="2" t="s">
        <v>22</v>
      </c>
      <c r="C2" s="193" t="s">
        <v>284</v>
      </c>
      <c r="D2" s="193" t="s">
        <v>285</v>
      </c>
      <c r="E2" s="2" t="s">
        <v>286</v>
      </c>
      <c r="F2" s="2" t="s">
        <v>287</v>
      </c>
      <c r="G2" s="193" t="s">
        <v>288</v>
      </c>
      <c r="H2" s="193" t="s">
        <v>289</v>
      </c>
      <c r="I2" s="193" t="s">
        <v>47</v>
      </c>
      <c r="J2" s="193" t="s">
        <v>251</v>
      </c>
    </row>
    <row r="3" spans="1:11" ht="3" customHeight="1">
      <c r="B3" s="18"/>
      <c r="C3" s="18"/>
      <c r="D3" s="18"/>
      <c r="E3" s="18"/>
      <c r="F3" s="18"/>
      <c r="G3" s="18"/>
      <c r="H3" s="18"/>
      <c r="I3" s="18"/>
      <c r="J3" s="18"/>
    </row>
    <row r="4" spans="1:11">
      <c r="B4" s="19" t="s">
        <v>24</v>
      </c>
      <c r="C4" s="300">
        <v>4</v>
      </c>
      <c r="D4" s="21">
        <f>E19</f>
        <v>24</v>
      </c>
      <c r="E4" s="247">
        <f>Datos!$D$12*D4/SUM($D$4:$D$6)</f>
        <v>342857.14285714284</v>
      </c>
      <c r="F4" s="273">
        <f>Datos!$D$11</f>
        <v>3000000</v>
      </c>
      <c r="G4" s="21">
        <f>+D4*F4</f>
        <v>72000000</v>
      </c>
      <c r="H4" s="22">
        <f>+E4*C4</f>
        <v>1371428.5714285714</v>
      </c>
      <c r="I4" s="247">
        <f>SUM(G4:H4)</f>
        <v>73371428.571428567</v>
      </c>
      <c r="J4" s="33">
        <f>+I4</f>
        <v>73371428.571428567</v>
      </c>
    </row>
    <row r="5" spans="1:11">
      <c r="B5" s="23" t="s">
        <v>25</v>
      </c>
      <c r="C5" s="301">
        <v>2</v>
      </c>
      <c r="D5" s="25">
        <f>E20</f>
        <v>6</v>
      </c>
      <c r="E5" s="248">
        <f>Datos!$D$12*D5/SUM($D$4:$D$6)</f>
        <v>85714.28571428571</v>
      </c>
      <c r="F5" s="275">
        <f>Datos!$D$11</f>
        <v>3000000</v>
      </c>
      <c r="G5" s="25">
        <f>+D5*F5</f>
        <v>18000000</v>
      </c>
      <c r="H5" s="26">
        <f>+E5*C5</f>
        <v>171428.57142857142</v>
      </c>
      <c r="I5" s="248">
        <f>SUM(G5:H5)</f>
        <v>18171428.571428571</v>
      </c>
      <c r="J5" s="280">
        <f>+I5</f>
        <v>18171428.571428571</v>
      </c>
    </row>
    <row r="6" spans="1:11">
      <c r="B6" s="27" t="s">
        <v>26</v>
      </c>
      <c r="C6" s="302">
        <v>2</v>
      </c>
      <c r="D6" s="29">
        <f>E21</f>
        <v>5</v>
      </c>
      <c r="E6" s="249">
        <f>Datos!$D$12*D6/SUM($D$4:$D$6)</f>
        <v>71428.571428571435</v>
      </c>
      <c r="F6" s="274">
        <f>Datos!$D$11</f>
        <v>3000000</v>
      </c>
      <c r="G6" s="29">
        <f>+D6*F6</f>
        <v>15000000</v>
      </c>
      <c r="H6" s="30">
        <f>+E6*C6</f>
        <v>142857.14285714287</v>
      </c>
      <c r="I6" s="249">
        <f>SUM(G6:H6)</f>
        <v>15142857.142857144</v>
      </c>
      <c r="J6" s="34">
        <f>+I6</f>
        <v>15142857.142857144</v>
      </c>
    </row>
    <row r="7" spans="1:11">
      <c r="B7" s="191"/>
      <c r="C7" s="24"/>
      <c r="D7" s="32"/>
      <c r="E7" s="192"/>
      <c r="F7" s="79"/>
      <c r="G7" s="25"/>
      <c r="H7" s="125"/>
      <c r="I7" s="212"/>
      <c r="J7" s="125"/>
      <c r="K7" s="88"/>
    </row>
    <row r="8" spans="1:11">
      <c r="D8" s="217" t="s">
        <v>244</v>
      </c>
      <c r="E8" s="218">
        <v>0.8</v>
      </c>
      <c r="F8" s="79"/>
      <c r="G8" s="25"/>
      <c r="H8" s="248"/>
      <c r="I8" s="248"/>
      <c r="J8" s="248"/>
      <c r="K8" s="88"/>
    </row>
    <row r="9" spans="1:11">
      <c r="B9" s="190"/>
    </row>
    <row r="10" spans="1:11" ht="31.5">
      <c r="B10" s="193" t="s">
        <v>22</v>
      </c>
      <c r="C10" s="193" t="s">
        <v>272</v>
      </c>
      <c r="D10" s="193" t="s">
        <v>273</v>
      </c>
      <c r="E10" s="193" t="s">
        <v>274</v>
      </c>
      <c r="F10" s="193" t="s">
        <v>268</v>
      </c>
    </row>
    <row r="11" spans="1:11" ht="3" customHeight="1">
      <c r="B11" s="18"/>
      <c r="C11" s="18"/>
      <c r="D11" s="18"/>
      <c r="E11" s="18"/>
      <c r="F11" s="18"/>
    </row>
    <row r="12" spans="1:11">
      <c r="B12" s="19" t="s">
        <v>24</v>
      </c>
      <c r="C12" s="268">
        <f>DEMANDA!C184</f>
        <v>5166109</v>
      </c>
      <c r="D12" s="268">
        <f>ROUNDUP(C12/$E$8,0)</f>
        <v>6457637</v>
      </c>
      <c r="E12" s="268">
        <f>+'DIM PLAT'!K48</f>
        <v>56396674</v>
      </c>
      <c r="F12" s="268">
        <f>ROUNDUP(E12/$E$8,0)</f>
        <v>70495843</v>
      </c>
    </row>
    <row r="13" spans="1:11">
      <c r="B13" s="23" t="s">
        <v>25</v>
      </c>
      <c r="C13" s="269">
        <f>DEMANDA!C185</f>
        <v>1195270</v>
      </c>
      <c r="D13" s="269">
        <f>ROUNDUP(C13/$E$8,0)</f>
        <v>1494088</v>
      </c>
      <c r="E13" s="269">
        <f>+'DIM PLAT'!K60</f>
        <v>12563601</v>
      </c>
      <c r="F13" s="269">
        <f>ROUNDUP(E13/$E$8,0)</f>
        <v>15704502</v>
      </c>
    </row>
    <row r="14" spans="1:11">
      <c r="B14" s="27" t="s">
        <v>26</v>
      </c>
      <c r="C14" s="270">
        <f>DEMANDA!C183</f>
        <v>941841</v>
      </c>
      <c r="D14" s="270">
        <f>ROUNDUP(C14/$E$8,0)</f>
        <v>1177302</v>
      </c>
      <c r="E14" s="270">
        <f>+'DIM PLAT'!K37</f>
        <v>9923619</v>
      </c>
      <c r="F14" s="270">
        <f>ROUNDUP(E14/$E$8,0)</f>
        <v>12404524</v>
      </c>
    </row>
    <row r="15" spans="1:11">
      <c r="B15" s="262"/>
      <c r="C15" s="265"/>
      <c r="D15" s="265"/>
      <c r="E15"/>
      <c r="F15"/>
      <c r="G15"/>
    </row>
    <row r="16" spans="1:11">
      <c r="B16" s="193"/>
      <c r="C16" s="330" t="s">
        <v>245</v>
      </c>
      <c r="D16" s="330"/>
      <c r="E16" s="330"/>
      <c r="F16"/>
      <c r="G16"/>
    </row>
    <row r="17" spans="2:7" ht="31.5">
      <c r="B17" s="193" t="s">
        <v>22</v>
      </c>
      <c r="C17" s="193" t="s">
        <v>269</v>
      </c>
      <c r="D17" s="193" t="s">
        <v>270</v>
      </c>
      <c r="E17" s="193" t="s">
        <v>271</v>
      </c>
      <c r="F17"/>
      <c r="G17"/>
    </row>
    <row r="18" spans="2:7" ht="3" customHeight="1">
      <c r="B18" s="18"/>
      <c r="C18" s="267"/>
      <c r="D18" s="267"/>
      <c r="E18" s="267"/>
      <c r="F18"/>
      <c r="G18"/>
    </row>
    <row r="19" spans="2:7">
      <c r="B19" s="19" t="s">
        <v>24</v>
      </c>
      <c r="C19" s="20">
        <f>ROUNDUP(D12/Datos!$D$19,0)</f>
        <v>13</v>
      </c>
      <c r="D19" s="20">
        <f>ROUNDUP(F12/Datos!$D$21,0)</f>
        <v>24</v>
      </c>
      <c r="E19" s="20">
        <f>MAX(C19,D19)</f>
        <v>24</v>
      </c>
      <c r="F19"/>
      <c r="G19"/>
    </row>
    <row r="20" spans="2:7">
      <c r="B20" s="23" t="s">
        <v>25</v>
      </c>
      <c r="C20" s="24">
        <f>ROUNDUP(D13/Datos!$D$19,0)</f>
        <v>3</v>
      </c>
      <c r="D20" s="24">
        <f>ROUNDUP(F13/Datos!$D$21,0)</f>
        <v>6</v>
      </c>
      <c r="E20" s="24">
        <f>MAX(C20,D20)</f>
        <v>6</v>
      </c>
      <c r="F20"/>
      <c r="G20"/>
    </row>
    <row r="21" spans="2:7">
      <c r="B21" s="27" t="s">
        <v>26</v>
      </c>
      <c r="C21" s="28">
        <f>ROUNDUP(D14/Datos!$D$19,0)</f>
        <v>3</v>
      </c>
      <c r="D21" s="28">
        <f>ROUNDUP(F14/Datos!$D$21,0)</f>
        <v>5</v>
      </c>
      <c r="E21" s="28">
        <f>MAX(C21,D21)</f>
        <v>5</v>
      </c>
      <c r="F21"/>
      <c r="G21"/>
    </row>
    <row r="22" spans="2:7">
      <c r="B22" s="261"/>
      <c r="C22" s="265"/>
      <c r="D22" s="265"/>
      <c r="E22"/>
      <c r="F22"/>
      <c r="G22"/>
    </row>
    <row r="23" spans="2:7" ht="15.75" customHeight="1">
      <c r="B23" s="193"/>
      <c r="C23" s="328" t="s">
        <v>277</v>
      </c>
      <c r="D23" s="328"/>
      <c r="E23" s="328"/>
      <c r="F23" s="328"/>
      <c r="G23" s="329" t="s">
        <v>246</v>
      </c>
    </row>
    <row r="24" spans="2:7" ht="31.5">
      <c r="B24" s="193" t="s">
        <v>22</v>
      </c>
      <c r="C24" s="263" t="s">
        <v>275</v>
      </c>
      <c r="D24" s="263" t="s">
        <v>46</v>
      </c>
      <c r="E24" s="263" t="s">
        <v>276</v>
      </c>
      <c r="F24" s="193" t="s">
        <v>278</v>
      </c>
      <c r="G24" s="329"/>
    </row>
    <row r="25" spans="2:7" ht="3" customHeight="1">
      <c r="C25" s="266"/>
      <c r="D25" s="266"/>
      <c r="E25" s="266"/>
      <c r="F25" s="267"/>
      <c r="G25" s="266"/>
    </row>
    <row r="26" spans="2:7">
      <c r="B26" s="19" t="s">
        <v>24</v>
      </c>
      <c r="C26" s="268">
        <f>+Datos!$D$14</f>
        <v>600000</v>
      </c>
      <c r="D26" s="268">
        <f>+E$19</f>
        <v>24</v>
      </c>
      <c r="E26" s="268">
        <f>+C26*D26</f>
        <v>14400000</v>
      </c>
      <c r="F26" s="268">
        <f t="shared" ref="F26:G28" si="0">+E26</f>
        <v>14400000</v>
      </c>
      <c r="G26" s="277">
        <f t="shared" si="0"/>
        <v>14400000</v>
      </c>
    </row>
    <row r="27" spans="2:7">
      <c r="B27" s="23" t="s">
        <v>25</v>
      </c>
      <c r="C27" s="269">
        <f>+Datos!$D$14</f>
        <v>600000</v>
      </c>
      <c r="D27" s="269">
        <f>+E$20</f>
        <v>6</v>
      </c>
      <c r="E27" s="269">
        <f>+C27*D27</f>
        <v>3600000</v>
      </c>
      <c r="F27" s="269">
        <f t="shared" si="0"/>
        <v>3600000</v>
      </c>
      <c r="G27" s="278">
        <f t="shared" si="0"/>
        <v>3600000</v>
      </c>
    </row>
    <row r="28" spans="2:7">
      <c r="B28" s="27" t="s">
        <v>26</v>
      </c>
      <c r="C28" s="270">
        <f>+Datos!$D$14</f>
        <v>600000</v>
      </c>
      <c r="D28" s="270">
        <f>+E$21</f>
        <v>5</v>
      </c>
      <c r="E28" s="270">
        <f>+C28*D28</f>
        <v>3000000</v>
      </c>
      <c r="F28" s="270">
        <f t="shared" si="0"/>
        <v>3000000</v>
      </c>
      <c r="G28" s="279">
        <f t="shared" si="0"/>
        <v>3000000</v>
      </c>
    </row>
    <row r="29" spans="2:7">
      <c r="B29" s="215"/>
      <c r="E29" s="272"/>
      <c r="F29" s="271"/>
      <c r="G29" s="271">
        <f>SUM(G26:G28)</f>
        <v>21000000</v>
      </c>
    </row>
    <row r="30" spans="2:7">
      <c r="B30" s="31"/>
      <c r="C30" s="215"/>
      <c r="D30" s="215"/>
      <c r="E30" s="215"/>
      <c r="F30" s="215"/>
    </row>
    <row r="31" spans="2:7">
      <c r="B31" s="257"/>
      <c r="C31" s="31"/>
      <c r="D31" s="31"/>
      <c r="E31" s="31"/>
      <c r="F31" s="215"/>
    </row>
    <row r="32" spans="2:7">
      <c r="B32" s="257"/>
      <c r="C32" s="31"/>
      <c r="D32" s="31"/>
      <c r="E32" s="31"/>
      <c r="F32" s="215"/>
    </row>
    <row r="33" spans="2:6">
      <c r="B33" s="257"/>
      <c r="C33" s="31"/>
      <c r="D33" s="31"/>
      <c r="E33" s="31"/>
      <c r="F33" s="31"/>
    </row>
    <row r="34" spans="2:6">
      <c r="B34" s="258"/>
      <c r="C34" s="31"/>
      <c r="D34" s="31"/>
      <c r="E34" s="31"/>
      <c r="F34" s="31"/>
    </row>
    <row r="35" spans="2:6">
      <c r="B35" s="215"/>
      <c r="C35" s="215"/>
      <c r="D35" s="215"/>
      <c r="E35" s="215"/>
      <c r="F35" s="215"/>
    </row>
    <row r="36" spans="2:6">
      <c r="B36" s="31"/>
      <c r="C36" s="215"/>
      <c r="D36" s="215"/>
      <c r="E36" s="215"/>
      <c r="F36" s="215"/>
    </row>
    <row r="37" spans="2:6">
      <c r="B37" s="257"/>
      <c r="C37" s="31"/>
      <c r="D37" s="31"/>
      <c r="E37" s="31"/>
      <c r="F37" s="215"/>
    </row>
    <row r="38" spans="2:6">
      <c r="B38" s="257"/>
      <c r="C38" s="31"/>
      <c r="D38" s="31"/>
      <c r="E38" s="31"/>
      <c r="F38" s="215"/>
    </row>
    <row r="39" spans="2:6">
      <c r="B39" s="257"/>
      <c r="C39" s="31"/>
      <c r="D39" s="31"/>
      <c r="E39" s="31"/>
      <c r="F39" s="31"/>
    </row>
    <row r="40" spans="2:6">
      <c r="B40" s="258"/>
      <c r="C40" s="31"/>
      <c r="D40" s="31"/>
      <c r="E40" s="31"/>
      <c r="F40" s="31"/>
    </row>
    <row r="41" spans="2:6">
      <c r="B41" s="215"/>
      <c r="C41" s="215"/>
      <c r="D41" s="215"/>
      <c r="E41" s="215"/>
      <c r="F41" s="215"/>
    </row>
  </sheetData>
  <mergeCells count="3">
    <mergeCell ref="C23:F23"/>
    <mergeCell ref="G23:G24"/>
    <mergeCell ref="C16:E16"/>
  </mergeCells>
  <phoneticPr fontId="0" type="noConversion"/>
  <pageMargins left="0.7" right="0.7" top="0.75" bottom="0.75" header="0.3" footer="0.3"/>
  <pageSetup scale="7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/>
  <dimension ref="B1:L41"/>
  <sheetViews>
    <sheetView zoomScaleNormal="100" zoomScaleSheetLayoutView="100" workbookViewId="0">
      <selection activeCell="C34" sqref="C34"/>
    </sheetView>
  </sheetViews>
  <sheetFormatPr baseColWidth="10" defaultRowHeight="15.75"/>
  <cols>
    <col min="1" max="1" width="11.42578125" style="14" customWidth="1"/>
    <col min="2" max="2" width="47.7109375" style="14" bestFit="1" customWidth="1"/>
    <col min="3" max="3" width="15.42578125" style="14" bestFit="1" customWidth="1"/>
    <col min="4" max="4" width="18.85546875" style="14" bestFit="1" customWidth="1"/>
    <col min="5" max="5" width="29.5703125" style="14" bestFit="1" customWidth="1"/>
    <col min="6" max="6" width="32.42578125" style="14" bestFit="1" customWidth="1"/>
    <col min="7" max="7" width="15.28515625" style="14" bestFit="1" customWidth="1"/>
    <col min="8" max="8" width="24.140625" style="14" bestFit="1" customWidth="1"/>
    <col min="9" max="9" width="11.85546875" style="14" bestFit="1" customWidth="1"/>
    <col min="10" max="10" width="20" style="14" bestFit="1" customWidth="1"/>
    <col min="11" max="11" width="17.7109375" style="14" bestFit="1" customWidth="1"/>
    <col min="12" max="12" width="15.28515625" style="14" bestFit="1" customWidth="1"/>
    <col min="13" max="13" width="18.7109375" style="14" customWidth="1"/>
    <col min="14" max="14" width="14.28515625" style="14" customWidth="1"/>
    <col min="15" max="15" width="17.7109375" style="14" bestFit="1" customWidth="1"/>
    <col min="16" max="16" width="18.140625" style="14" bestFit="1" customWidth="1"/>
    <col min="17" max="17" width="17.42578125" style="14" bestFit="1" customWidth="1"/>
    <col min="18" max="18" width="10" style="14" bestFit="1" customWidth="1"/>
    <col min="19" max="16384" width="11.42578125" style="14"/>
  </cols>
  <sheetData>
    <row r="1" spans="2:9">
      <c r="E1" s="6"/>
      <c r="F1" s="6"/>
    </row>
    <row r="2" spans="2:9">
      <c r="B2" s="259"/>
      <c r="C2" s="259"/>
      <c r="D2" s="260"/>
      <c r="E2" s="6"/>
      <c r="F2" s="6"/>
    </row>
    <row r="3" spans="2:9">
      <c r="E3" s="6"/>
      <c r="F3" s="6"/>
    </row>
    <row r="4" spans="2:9">
      <c r="E4" s="6"/>
      <c r="F4" s="6"/>
    </row>
    <row r="5" spans="2:9">
      <c r="E5" s="6"/>
      <c r="F5" s="6"/>
    </row>
    <row r="6" spans="2:9">
      <c r="B6" s="331" t="s">
        <v>29</v>
      </c>
      <c r="C6" s="331"/>
      <c r="E6" s="6"/>
      <c r="F6" s="6"/>
    </row>
    <row r="7" spans="2:9" ht="3" customHeight="1">
      <c r="B7" s="35"/>
      <c r="C7" s="35"/>
      <c r="E7" s="6"/>
      <c r="F7" s="6"/>
    </row>
    <row r="8" spans="2:9">
      <c r="B8" s="6" t="s">
        <v>30</v>
      </c>
      <c r="C8" s="89">
        <f>D18</f>
        <v>1665487.0581397379</v>
      </c>
      <c r="E8" s="61"/>
      <c r="F8" s="6"/>
      <c r="H8" s="61"/>
      <c r="I8" s="62"/>
    </row>
    <row r="9" spans="2:9">
      <c r="B9" s="6" t="s">
        <v>31</v>
      </c>
      <c r="C9" s="89">
        <f>D24</f>
        <v>1842918.7288867941</v>
      </c>
      <c r="E9" s="61"/>
      <c r="F9" s="6"/>
      <c r="H9" s="61"/>
      <c r="I9" s="62"/>
    </row>
    <row r="10" spans="2:9">
      <c r="B10" s="37" t="s">
        <v>23</v>
      </c>
      <c r="C10" s="58">
        <f>SUM(C8:C9)</f>
        <v>3508405.787026532</v>
      </c>
      <c r="E10" s="36"/>
      <c r="F10" s="6"/>
    </row>
    <row r="11" spans="2:9">
      <c r="B11" s="14" t="s">
        <v>32</v>
      </c>
      <c r="E11" s="6"/>
      <c r="F11" s="6"/>
    </row>
    <row r="12" spans="2:9">
      <c r="B12" s="332" t="s">
        <v>33</v>
      </c>
      <c r="C12" s="332"/>
    </row>
    <row r="13" spans="2:9">
      <c r="B13" s="14" t="s">
        <v>34</v>
      </c>
    </row>
    <row r="15" spans="2:9">
      <c r="B15" s="77" t="s">
        <v>50</v>
      </c>
      <c r="C15" s="87"/>
      <c r="D15" s="87" t="s">
        <v>49</v>
      </c>
      <c r="G15" s="80"/>
    </row>
    <row r="16" spans="2:9">
      <c r="B16" s="84" t="s">
        <v>255</v>
      </c>
      <c r="D16" s="303">
        <v>100000000</v>
      </c>
      <c r="F16" s="80"/>
    </row>
    <row r="17" spans="2:12">
      <c r="B17" s="84" t="s">
        <v>256</v>
      </c>
      <c r="D17" s="219">
        <f>Tarjetas!C7</f>
        <v>1.665487058139738E-2</v>
      </c>
      <c r="F17" s="80"/>
    </row>
    <row r="18" spans="2:12">
      <c r="B18" s="85" t="s">
        <v>47</v>
      </c>
      <c r="D18" s="83">
        <f>D16*D17</f>
        <v>1665487.0581397379</v>
      </c>
      <c r="E18" s="90"/>
      <c r="G18" s="80"/>
    </row>
    <row r="19" spans="2:12">
      <c r="B19" s="85"/>
      <c r="C19" s="56"/>
      <c r="E19" s="90"/>
      <c r="G19" s="80"/>
    </row>
    <row r="20" spans="2:12">
      <c r="E20" s="90"/>
    </row>
    <row r="21" spans="2:12">
      <c r="B21" s="77" t="s">
        <v>31</v>
      </c>
      <c r="C21" s="87" t="s">
        <v>47</v>
      </c>
      <c r="D21" s="87" t="s">
        <v>49</v>
      </c>
    </row>
    <row r="22" spans="2:12">
      <c r="B22" s="84" t="s">
        <v>52</v>
      </c>
      <c r="C22" s="303">
        <v>3000000</v>
      </c>
      <c r="D22" s="57">
        <f>C22*PCT_INGRESOS</f>
        <v>1626104.7607824653</v>
      </c>
      <c r="E22" s="123"/>
      <c r="I22" s="80"/>
    </row>
    <row r="23" spans="2:12">
      <c r="B23" s="84" t="s">
        <v>51</v>
      </c>
      <c r="C23" s="303">
        <v>400000</v>
      </c>
      <c r="D23" s="57">
        <f>C23*PCT_INGRESOS</f>
        <v>216813.96810432873</v>
      </c>
      <c r="E23" s="123"/>
      <c r="L23" s="211"/>
    </row>
    <row r="24" spans="2:12">
      <c r="B24" s="81" t="s">
        <v>47</v>
      </c>
      <c r="C24" s="56">
        <f>SUM(C22:C23)</f>
        <v>3400000</v>
      </c>
      <c r="D24" s="56">
        <f>SUM(D22:D23)</f>
        <v>1842918.7288867941</v>
      </c>
      <c r="L24" s="211"/>
    </row>
    <row r="25" spans="2:12">
      <c r="C25" s="86"/>
      <c r="D25" s="57"/>
    </row>
    <row r="26" spans="2:12">
      <c r="B26" s="77" t="s">
        <v>120</v>
      </c>
      <c r="C26" s="87" t="s">
        <v>121</v>
      </c>
      <c r="D26" s="57"/>
    </row>
    <row r="27" spans="2:12">
      <c r="B27" s="14" t="s">
        <v>65</v>
      </c>
      <c r="C27" s="303">
        <v>1000000</v>
      </c>
    </row>
    <row r="28" spans="2:12">
      <c r="B28" s="14" t="s">
        <v>64</v>
      </c>
      <c r="C28" s="303">
        <v>400000</v>
      </c>
    </row>
    <row r="29" spans="2:12">
      <c r="B29" s="84" t="s">
        <v>119</v>
      </c>
      <c r="C29" s="57">
        <f>C28*Líneas!D163</f>
        <v>359292.95309922227</v>
      </c>
    </row>
    <row r="30" spans="2:12">
      <c r="B30" s="84" t="s">
        <v>90</v>
      </c>
      <c r="C30" s="57">
        <f>C28*Líneas!D164</f>
        <v>40707.04690077775</v>
      </c>
    </row>
    <row r="31" spans="2:12">
      <c r="B31" s="14" t="s">
        <v>66</v>
      </c>
      <c r="C31" s="303">
        <v>300000</v>
      </c>
    </row>
    <row r="32" spans="2:12">
      <c r="B32" s="14" t="s">
        <v>67</v>
      </c>
      <c r="C32" s="303">
        <v>20000</v>
      </c>
    </row>
    <row r="33" spans="2:11">
      <c r="B33" s="14" t="s">
        <v>68</v>
      </c>
      <c r="C33" s="57">
        <f>SUM(C34:C35)</f>
        <v>200000</v>
      </c>
    </row>
    <row r="34" spans="2:11">
      <c r="B34" s="84" t="s">
        <v>69</v>
      </c>
      <c r="C34" s="303">
        <v>700000</v>
      </c>
      <c r="J34" s="80"/>
    </row>
    <row r="35" spans="2:11">
      <c r="B35" s="84" t="s">
        <v>48</v>
      </c>
      <c r="C35" s="303">
        <v>-500000</v>
      </c>
      <c r="J35" s="80"/>
      <c r="K35" s="80"/>
    </row>
    <row r="36" spans="2:11">
      <c r="B36" s="81" t="s">
        <v>23</v>
      </c>
      <c r="C36" s="56">
        <f>SUM(C27:C28,C31:C33)</f>
        <v>1920000</v>
      </c>
    </row>
    <row r="39" spans="2:11">
      <c r="C39" s="82"/>
    </row>
    <row r="41" spans="2:11">
      <c r="C41" s="91"/>
    </row>
  </sheetData>
  <mergeCells count="2">
    <mergeCell ref="B6:C6"/>
    <mergeCell ref="B12:C12"/>
  </mergeCells>
  <phoneticPr fontId="0" type="noConversion"/>
  <conditionalFormatting sqref="E22:E23">
    <cfRule type="expression" dxfId="0" priority="2">
      <formula>#REF!=0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9"/>
  <dimension ref="B2:F14"/>
  <sheetViews>
    <sheetView zoomScaleNormal="100" zoomScaleSheetLayoutView="100" workbookViewId="0">
      <selection activeCell="E9" sqref="E9"/>
    </sheetView>
  </sheetViews>
  <sheetFormatPr baseColWidth="10" defaultRowHeight="20.100000000000001" customHeight="1"/>
  <cols>
    <col min="1" max="1" width="20" style="39" bestFit="1" customWidth="1"/>
    <col min="2" max="2" width="22.42578125" style="39" customWidth="1"/>
    <col min="3" max="3" width="17.28515625" style="39" bestFit="1" customWidth="1"/>
    <col min="4" max="4" width="16.85546875" style="39" bestFit="1" customWidth="1"/>
    <col min="5" max="5" width="16.28515625" style="39" bestFit="1" customWidth="1"/>
    <col min="6" max="6" width="17" style="39" customWidth="1"/>
    <col min="7" max="7" width="14.7109375" style="39" bestFit="1" customWidth="1"/>
    <col min="8" max="8" width="19.42578125" style="39" bestFit="1" customWidth="1"/>
    <col min="9" max="9" width="25.85546875" style="39" bestFit="1" customWidth="1"/>
    <col min="10" max="16384" width="11.42578125" style="39"/>
  </cols>
  <sheetData>
    <row r="2" spans="2:6" ht="20.100000000000001" customHeight="1">
      <c r="B2" s="38"/>
    </row>
    <row r="3" spans="2:6" ht="20.100000000000001" customHeight="1">
      <c r="C3" s="48"/>
    </row>
    <row r="4" spans="2:6" ht="20.100000000000001" customHeight="1">
      <c r="B4" s="205" t="s">
        <v>232</v>
      </c>
      <c r="C4" s="40"/>
      <c r="D4" s="41" t="s">
        <v>115</v>
      </c>
      <c r="E4" s="41" t="s">
        <v>116</v>
      </c>
      <c r="F4" s="41" t="s">
        <v>117</v>
      </c>
    </row>
    <row r="5" spans="2:6" ht="3.75" customHeight="1">
      <c r="B5" s="43"/>
      <c r="C5" s="43"/>
      <c r="D5" s="116"/>
      <c r="E5" s="116"/>
      <c r="F5" s="116"/>
    </row>
    <row r="6" spans="2:6" s="43" customFormat="1" ht="15.75">
      <c r="B6" s="44" t="s">
        <v>90</v>
      </c>
      <c r="C6" s="44"/>
      <c r="D6" s="45">
        <f>Tráfico!N52</f>
        <v>207649515.44328478</v>
      </c>
      <c r="E6" s="45">
        <f>D6</f>
        <v>207649515.44328478</v>
      </c>
      <c r="F6" s="45">
        <f>Tráfico!N60</f>
        <v>77000000</v>
      </c>
    </row>
    <row r="7" spans="2:6" s="43" customFormat="1" ht="15.75">
      <c r="B7" s="113" t="s">
        <v>114</v>
      </c>
      <c r="C7" s="113"/>
      <c r="D7" s="118">
        <f>Tráfico!N53</f>
        <v>3509369866.8253241</v>
      </c>
      <c r="E7" s="118">
        <v>0</v>
      </c>
      <c r="F7" s="118">
        <f>E7</f>
        <v>0</v>
      </c>
    </row>
    <row r="8" spans="2:6" s="43" customFormat="1" ht="20.100000000000001" customHeight="1">
      <c r="B8" s="46" t="s">
        <v>123</v>
      </c>
      <c r="C8" s="117"/>
      <c r="D8" s="47">
        <f>Tráfico!N56</f>
        <v>8330750617.7313938</v>
      </c>
      <c r="E8" s="47">
        <f>D8</f>
        <v>8330750617.7313938</v>
      </c>
      <c r="F8" s="47">
        <f>D8</f>
        <v>8330750617.7313938</v>
      </c>
    </row>
    <row r="9" spans="2:6" ht="20.100000000000001" customHeight="1">
      <c r="B9" s="49" t="s">
        <v>35</v>
      </c>
      <c r="C9" s="50"/>
      <c r="D9" s="51">
        <f>SUM(D6:D8)</f>
        <v>12047770000.000004</v>
      </c>
      <c r="E9" s="51">
        <f t="shared" ref="E9:F9" si="0">SUM(E6:E8)</f>
        <v>8538400133.1746788</v>
      </c>
      <c r="F9" s="51">
        <f t="shared" si="0"/>
        <v>8407750617.7313938</v>
      </c>
    </row>
    <row r="10" spans="2:6" ht="20.100000000000001" customHeight="1">
      <c r="B10" s="52"/>
    </row>
    <row r="11" spans="2:6" ht="20.100000000000001" customHeight="1">
      <c r="B11" s="41"/>
      <c r="C11" s="41" t="s">
        <v>235</v>
      </c>
      <c r="D11" s="124"/>
    </row>
    <row r="12" spans="2:6" ht="4.5" customHeight="1">
      <c r="B12" s="42"/>
      <c r="C12" s="42"/>
      <c r="D12" s="124"/>
    </row>
    <row r="13" spans="2:6" ht="20.100000000000001" customHeight="1">
      <c r="B13" s="44" t="s">
        <v>233</v>
      </c>
      <c r="C13" s="206">
        <f>E9</f>
        <v>8538400133.1746788</v>
      </c>
    </row>
    <row r="14" spans="2:6" ht="20.100000000000001" customHeight="1">
      <c r="B14" s="46" t="s">
        <v>234</v>
      </c>
      <c r="C14" s="207">
        <f>F9</f>
        <v>8407750617.7313938</v>
      </c>
    </row>
  </sheetData>
  <phoneticPr fontId="0" type="noConversion"/>
  <pageMargins left="0.7" right="0.7" top="0.75" bottom="0.75" header="0.3" footer="0.3"/>
  <pageSetup scale="71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0"/>
  <dimension ref="B6:J12"/>
  <sheetViews>
    <sheetView zoomScaleNormal="100" zoomScaleSheetLayoutView="100" workbookViewId="0">
      <selection activeCell="C8" sqref="C8"/>
    </sheetView>
  </sheetViews>
  <sheetFormatPr baseColWidth="10" defaultRowHeight="15.75"/>
  <cols>
    <col min="1" max="1" width="11.42578125" style="14" customWidth="1"/>
    <col min="2" max="2" width="6.85546875" style="14" bestFit="1" customWidth="1"/>
    <col min="3" max="3" width="9.7109375" style="14" bestFit="1" customWidth="1"/>
    <col min="4" max="4" width="14.7109375" style="14" bestFit="1" customWidth="1"/>
    <col min="5" max="5" width="19" style="14" bestFit="1" customWidth="1"/>
    <col min="6" max="6" width="16.85546875" style="14" customWidth="1"/>
    <col min="7" max="7" width="13" style="14" bestFit="1" customWidth="1"/>
    <col min="8" max="8" width="14.140625" style="14" bestFit="1" customWidth="1"/>
    <col min="9" max="9" width="11.42578125" style="14"/>
    <col min="10" max="10" width="13" style="14" bestFit="1" customWidth="1"/>
    <col min="11" max="16384" width="11.42578125" style="14"/>
  </cols>
  <sheetData>
    <row r="6" spans="2:10" ht="31.5">
      <c r="B6" s="53" t="s">
        <v>22</v>
      </c>
      <c r="C6" s="54" t="s">
        <v>36</v>
      </c>
      <c r="D6" s="60" t="s">
        <v>37</v>
      </c>
      <c r="E6" s="60" t="s">
        <v>38</v>
      </c>
      <c r="F6" s="60" t="s">
        <v>39</v>
      </c>
      <c r="G6" s="60" t="s">
        <v>28</v>
      </c>
      <c r="H6" s="60" t="s">
        <v>44</v>
      </c>
    </row>
    <row r="7" spans="2:10" ht="3" customHeight="1"/>
    <row r="8" spans="2:10">
      <c r="B8" s="64" t="s">
        <v>24</v>
      </c>
      <c r="C8" s="20">
        <f>VIDA_UTIL</f>
        <v>5</v>
      </c>
      <c r="D8" s="65">
        <f>'C 3'!J4</f>
        <v>73371428.571428567</v>
      </c>
      <c r="E8" s="65">
        <f>'C 3'!$G26</f>
        <v>14400000</v>
      </c>
      <c r="F8" s="65">
        <f>(VLOOKUP($C8,ANUALIZACION,2,FALSE))*$D8+E8</f>
        <v>37804054.696962103</v>
      </c>
      <c r="G8" s="65">
        <f>(VLOOKUP($C8,ANUALIZACION,2,FALSE))*$D8</f>
        <v>23404054.696962107</v>
      </c>
      <c r="H8" s="65">
        <f>E8</f>
        <v>14400000</v>
      </c>
      <c r="I8" s="66"/>
      <c r="J8" s="219"/>
    </row>
    <row r="9" spans="2:10">
      <c r="B9" s="67" t="s">
        <v>25</v>
      </c>
      <c r="C9" s="24">
        <f>VIDA_UTIL</f>
        <v>5</v>
      </c>
      <c r="D9" s="276">
        <f>'C 3'!J5</f>
        <v>18171428.571428571</v>
      </c>
      <c r="E9" s="66">
        <f>'C 3'!$G27</f>
        <v>3600000</v>
      </c>
      <c r="F9" s="66">
        <f>(VLOOKUP($C9,ANUALIZACION,2,FALSE))*$D9+E9</f>
        <v>9396331.3034532331</v>
      </c>
      <c r="G9" s="66">
        <f>(VLOOKUP($C9,ANUALIZACION,2,FALSE))*$D9</f>
        <v>5796331.3034532322</v>
      </c>
      <c r="H9" s="66">
        <f>E9</f>
        <v>3600000</v>
      </c>
    </row>
    <row r="10" spans="2:10">
      <c r="B10" s="68" t="s">
        <v>26</v>
      </c>
      <c r="C10" s="28">
        <f>VIDA_UTIL</f>
        <v>5</v>
      </c>
      <c r="D10" s="69">
        <f>'C 3'!J6</f>
        <v>15142857.142857144</v>
      </c>
      <c r="E10" s="69">
        <f>'C 3'!$G28</f>
        <v>3000000</v>
      </c>
      <c r="F10" s="69">
        <f>(VLOOKUP($C10,ANUALIZACION,2,FALSE))*$D10+E10</f>
        <v>7830276.0862110276</v>
      </c>
      <c r="G10" s="69">
        <f>(VLOOKUP($C10,ANUALIZACION,2,FALSE))*$D10</f>
        <v>4830276.0862110276</v>
      </c>
      <c r="H10" s="69">
        <f>E10</f>
        <v>3000000</v>
      </c>
    </row>
    <row r="11" spans="2:10">
      <c r="B11" s="70" t="s">
        <v>23</v>
      </c>
      <c r="C11" s="35"/>
      <c r="D11" s="70">
        <f t="shared" ref="D11:H11" si="0">SUM(D8:D10)</f>
        <v>106685714.28571428</v>
      </c>
      <c r="E11" s="70">
        <f t="shared" si="0"/>
        <v>21000000</v>
      </c>
      <c r="F11" s="71">
        <f t="shared" si="0"/>
        <v>55030662.086626366</v>
      </c>
      <c r="G11" s="71">
        <f t="shared" si="0"/>
        <v>34030662.086626366</v>
      </c>
      <c r="H11" s="71">
        <f t="shared" si="0"/>
        <v>21000000</v>
      </c>
    </row>
    <row r="12" spans="2:10">
      <c r="D12" s="241"/>
    </row>
  </sheetData>
  <phoneticPr fontId="0" type="noConversion"/>
  <pageMargins left="0.7" right="0.7" top="0.75" bottom="0.75" header="0.3" footer="0.3"/>
  <pageSetup scale="72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4"/>
  <dimension ref="A1:G24"/>
  <sheetViews>
    <sheetView topLeftCell="A9" zoomScale="90" zoomScaleNormal="90" zoomScaleSheetLayoutView="100" workbookViewId="0">
      <selection activeCell="D18" sqref="D18"/>
    </sheetView>
  </sheetViews>
  <sheetFormatPr baseColWidth="10" defaultRowHeight="15.75"/>
  <cols>
    <col min="1" max="1" width="28.85546875" style="14" bestFit="1" customWidth="1"/>
    <col min="2" max="2" width="16.42578125" style="14" bestFit="1" customWidth="1"/>
    <col min="3" max="3" width="20.28515625" style="14" bestFit="1" customWidth="1"/>
    <col min="4" max="4" width="25.5703125" style="14" customWidth="1"/>
    <col min="5" max="5" width="23.5703125" style="14" customWidth="1"/>
    <col min="6" max="7" width="14.140625" style="14" bestFit="1" customWidth="1"/>
    <col min="8" max="16384" width="11.42578125" style="14"/>
  </cols>
  <sheetData>
    <row r="1" spans="1:7" ht="18.75">
      <c r="A1" s="92" t="s">
        <v>219</v>
      </c>
      <c r="B1" s="92"/>
      <c r="C1" s="92"/>
      <c r="D1" s="6"/>
      <c r="E1" s="6"/>
    </row>
    <row r="2" spans="1:7">
      <c r="A2" s="72"/>
      <c r="B2" s="72"/>
      <c r="C2" s="72"/>
      <c r="D2" s="6"/>
      <c r="E2" s="6"/>
    </row>
    <row r="3" spans="1:7" ht="18.75">
      <c r="A3" s="92" t="s">
        <v>220</v>
      </c>
      <c r="B3" s="92"/>
      <c r="C3" s="92"/>
      <c r="D3" s="6"/>
      <c r="E3" s="6"/>
    </row>
    <row r="4" spans="1:7" ht="18.75">
      <c r="A4" s="94" t="s">
        <v>221</v>
      </c>
      <c r="B4" s="94"/>
      <c r="C4" s="94"/>
      <c r="D4" s="6"/>
      <c r="E4" s="6"/>
    </row>
    <row r="5" spans="1:7" ht="18.75">
      <c r="A5" s="196" t="s">
        <v>279</v>
      </c>
      <c r="B5" s="197"/>
      <c r="C5" s="198">
        <f>'C 9'!D11</f>
        <v>106685714.28571428</v>
      </c>
      <c r="D5" s="72"/>
      <c r="E5" s="72"/>
      <c r="F5" s="93"/>
      <c r="G5" s="80"/>
    </row>
    <row r="6" spans="1:7" ht="56.25">
      <c r="A6" s="196" t="s">
        <v>222</v>
      </c>
      <c r="B6" s="197" t="s">
        <v>223</v>
      </c>
      <c r="C6" s="198">
        <f>SUM(C7:C8)</f>
        <v>6563484.2034724858</v>
      </c>
      <c r="D6" s="6"/>
      <c r="E6" s="233"/>
      <c r="F6" s="80"/>
    </row>
    <row r="7" spans="1:7" ht="18.75">
      <c r="A7" s="199" t="s">
        <v>28</v>
      </c>
      <c r="B7" s="197"/>
      <c r="C7" s="204">
        <f>(CAPEX_IN)*DATOS_REPARTICION</f>
        <v>4058822.9283464025</v>
      </c>
      <c r="D7" s="6"/>
      <c r="E7" s="234"/>
      <c r="F7" s="232"/>
    </row>
    <row r="8" spans="1:7" ht="18.75">
      <c r="A8" s="199" t="s">
        <v>44</v>
      </c>
      <c r="B8" s="197"/>
      <c r="C8" s="204">
        <f>(OPEX_IN)*DATOS_REPARTICION</f>
        <v>2504661.2751260833</v>
      </c>
      <c r="D8" s="6"/>
      <c r="E8" s="233"/>
      <c r="F8" s="80"/>
    </row>
    <row r="9" spans="1:7" ht="56.25">
      <c r="A9" s="196" t="s">
        <v>224</v>
      </c>
      <c r="B9" s="197" t="s">
        <v>225</v>
      </c>
      <c r="C9" s="200">
        <f>SUM(C10:C10)</f>
        <v>418446.10058064782</v>
      </c>
      <c r="D9" s="6"/>
      <c r="E9" s="6"/>
    </row>
    <row r="10" spans="1:7" ht="33">
      <c r="A10" s="201" t="s">
        <v>283</v>
      </c>
      <c r="B10" s="197" t="s">
        <v>226</v>
      </c>
      <c r="C10" s="204">
        <f>('C 7'!C8+'C 7'!C9)*DATOS_REPARTICION</f>
        <v>418446.10058064782</v>
      </c>
      <c r="D10" s="6"/>
      <c r="E10" s="6"/>
    </row>
    <row r="11" spans="1:7" ht="18.75">
      <c r="A11" s="94" t="s">
        <v>227</v>
      </c>
      <c r="B11" s="94"/>
      <c r="C11" s="94"/>
      <c r="D11" s="6"/>
      <c r="E11" s="6"/>
    </row>
    <row r="12" spans="1:7" ht="74.25">
      <c r="A12" s="196" t="s">
        <v>228</v>
      </c>
      <c r="B12" s="197" t="s">
        <v>229</v>
      </c>
      <c r="C12" s="202">
        <f>Traf_Plataforma</f>
        <v>8538400133.1746788</v>
      </c>
      <c r="D12" s="6"/>
      <c r="E12" s="6"/>
    </row>
    <row r="13" spans="1:7" ht="55.5">
      <c r="A13" s="196" t="s">
        <v>230</v>
      </c>
      <c r="B13" s="197" t="s">
        <v>100</v>
      </c>
      <c r="C13" s="203">
        <f>Traf_Tarjetas</f>
        <v>8407750617.7313938</v>
      </c>
      <c r="D13" s="6"/>
      <c r="E13" s="6"/>
    </row>
    <row r="14" spans="1:7">
      <c r="D14" s="6"/>
      <c r="E14" s="6"/>
    </row>
    <row r="15" spans="1:7">
      <c r="C15" s="72"/>
      <c r="D15" s="72"/>
      <c r="E15" s="72"/>
      <c r="F15" s="93"/>
    </row>
    <row r="16" spans="1:7" ht="18.75">
      <c r="A16" s="92" t="s">
        <v>96</v>
      </c>
      <c r="B16" s="92"/>
      <c r="C16" s="72"/>
      <c r="D16" s="208" t="s">
        <v>28</v>
      </c>
      <c r="E16" s="208" t="s">
        <v>44</v>
      </c>
      <c r="F16" s="93"/>
    </row>
    <row r="17" spans="1:7" ht="18">
      <c r="A17" s="95" t="s">
        <v>280</v>
      </c>
      <c r="B17" s="96">
        <f>C6</f>
        <v>6563484.2034724858</v>
      </c>
      <c r="C17" s="98">
        <f>B17/B18</f>
        <v>7.6870187635866912E-4</v>
      </c>
      <c r="D17" s="209">
        <f>C7/B18</f>
        <v>4.7536105886821254E-4</v>
      </c>
      <c r="E17" s="209">
        <f>C8/B18</f>
        <v>2.9334081749045652E-4</v>
      </c>
      <c r="F17" s="93"/>
    </row>
    <row r="18" spans="1:7">
      <c r="A18" s="95" t="s">
        <v>98</v>
      </c>
      <c r="B18" s="96">
        <f>C12</f>
        <v>8538400133.1746788</v>
      </c>
      <c r="C18" s="72"/>
      <c r="D18" s="281"/>
      <c r="E18" s="281"/>
      <c r="F18" s="93"/>
    </row>
    <row r="19" spans="1:7" ht="18">
      <c r="A19" s="95" t="s">
        <v>99</v>
      </c>
      <c r="B19" s="96">
        <f>C10</f>
        <v>418446.10058064782</v>
      </c>
      <c r="C19" s="98">
        <f>B19/B20</f>
        <v>4.9769090403106446E-5</v>
      </c>
      <c r="D19" s="209">
        <v>0</v>
      </c>
      <c r="E19" s="209">
        <f>B19/B20</f>
        <v>4.9769090403106446E-5</v>
      </c>
      <c r="F19" s="93"/>
      <c r="G19" s="55"/>
    </row>
    <row r="20" spans="1:7">
      <c r="A20" s="95" t="s">
        <v>100</v>
      </c>
      <c r="B20" s="96">
        <f>C13</f>
        <v>8407750617.7313938</v>
      </c>
      <c r="C20" s="72"/>
      <c r="D20" s="281"/>
      <c r="E20" s="281"/>
      <c r="F20" s="93"/>
      <c r="G20" s="6"/>
    </row>
    <row r="21" spans="1:7" ht="18">
      <c r="A21" s="97" t="s">
        <v>97</v>
      </c>
      <c r="B21" s="99">
        <f>B17/B18+B19/B20</f>
        <v>8.1847096676177552E-4</v>
      </c>
      <c r="C21" s="72"/>
      <c r="D21" s="98">
        <f>SUM(D17:D19)</f>
        <v>4.7536105886821254E-4</v>
      </c>
      <c r="E21" s="98">
        <f>SUM(E17:E19)</f>
        <v>3.4310990789356298E-4</v>
      </c>
      <c r="F21" s="93"/>
    </row>
    <row r="22" spans="1:7">
      <c r="A22" s="72"/>
      <c r="B22" s="72"/>
      <c r="C22" s="72"/>
      <c r="D22" s="72"/>
      <c r="E22" s="72"/>
      <c r="F22" s="93"/>
    </row>
    <row r="23" spans="1:7">
      <c r="A23" s="100" t="s">
        <v>27</v>
      </c>
      <c r="B23" s="100" t="s">
        <v>97</v>
      </c>
      <c r="C23" s="100" t="s">
        <v>101</v>
      </c>
      <c r="D23" s="100" t="s">
        <v>102</v>
      </c>
      <c r="E23" s="93"/>
    </row>
    <row r="24" spans="1:7" ht="18.75">
      <c r="A24" s="101" t="s">
        <v>282</v>
      </c>
      <c r="B24" s="194">
        <f>+B21</f>
        <v>8.1847096676177552E-4</v>
      </c>
      <c r="C24" s="194">
        <f>B24*OVERHEAD</f>
        <v>8.1847096676177552E-5</v>
      </c>
      <c r="D24" s="228">
        <f t="shared" ref="D24" si="0">B24+C24</f>
        <v>9.0031806343795302E-4</v>
      </c>
      <c r="E24" s="93"/>
    </row>
  </sheetData>
  <phoneticPr fontId="0" type="noConversion"/>
  <pageMargins left="0.7" right="0.7" top="0.75" bottom="0.75" header="0.3" footer="0.3"/>
  <pageSetup orientation="portrait" horizontalDpi="1200" verticalDpi="1200" r:id="rId1"/>
  <legacyDrawing r:id="rId2"/>
  <oleObjects>
    <oleObject progId="Equation.3" shapeId="2049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36"/>
  <dimension ref="C7:I23"/>
  <sheetViews>
    <sheetView workbookViewId="0">
      <selection activeCell="D20" sqref="D20"/>
    </sheetView>
  </sheetViews>
  <sheetFormatPr baseColWidth="10" defaultRowHeight="15"/>
  <cols>
    <col min="3" max="3" width="23.85546875" customWidth="1"/>
    <col min="4" max="4" width="16.5703125" customWidth="1"/>
    <col min="5" max="5" width="13.140625" bestFit="1" customWidth="1"/>
    <col min="7" max="7" width="26.42578125" bestFit="1" customWidth="1"/>
  </cols>
  <sheetData>
    <row r="7" spans="3:9">
      <c r="C7" s="213" t="s">
        <v>291</v>
      </c>
      <c r="D7" s="213"/>
    </row>
    <row r="9" spans="3:9">
      <c r="C9" s="214" t="s">
        <v>238</v>
      </c>
      <c r="D9" s="214"/>
      <c r="G9" s="297" t="s">
        <v>27</v>
      </c>
      <c r="H9" s="297" t="s">
        <v>42</v>
      </c>
    </row>
    <row r="10" spans="3:9">
      <c r="C10" t="s">
        <v>239</v>
      </c>
      <c r="G10" s="102" t="s">
        <v>40</v>
      </c>
      <c r="H10" s="324">
        <v>0.13689999999999999</v>
      </c>
    </row>
    <row r="11" spans="3:9">
      <c r="C11" s="102" t="s">
        <v>295</v>
      </c>
      <c r="D11" s="304">
        <v>3000000</v>
      </c>
      <c r="G11" s="102" t="s">
        <v>45</v>
      </c>
      <c r="H11" s="324">
        <v>0.1</v>
      </c>
    </row>
    <row r="12" spans="3:9" ht="15.75">
      <c r="C12" s="102" t="s">
        <v>296</v>
      </c>
      <c r="D12" s="304">
        <v>500000</v>
      </c>
      <c r="G12" s="102" t="s">
        <v>231</v>
      </c>
      <c r="H12" s="316">
        <v>5</v>
      </c>
      <c r="I12" s="82"/>
    </row>
    <row r="13" spans="3:9">
      <c r="C13" t="s">
        <v>239</v>
      </c>
      <c r="G13" s="102" t="s">
        <v>237</v>
      </c>
      <c r="H13" s="298">
        <f>'DIM PLAT'!M20</f>
        <v>0.1192695845298135</v>
      </c>
    </row>
    <row r="14" spans="3:9">
      <c r="C14" s="102" t="s">
        <v>297</v>
      </c>
      <c r="D14" s="304">
        <v>600000</v>
      </c>
      <c r="E14" s="295"/>
      <c r="F14" s="295"/>
      <c r="G14" s="102" t="s">
        <v>281</v>
      </c>
      <c r="H14" s="298">
        <f>('C 7'!C27+'C 7'!C30)/'C 7'!C36</f>
        <v>0.54203492026082178</v>
      </c>
    </row>
    <row r="15" spans="3:9">
      <c r="E15" s="296"/>
      <c r="F15" s="296"/>
    </row>
    <row r="17" spans="3:9">
      <c r="C17" s="214" t="s">
        <v>292</v>
      </c>
      <c r="D17" s="214"/>
      <c r="H17" s="229"/>
    </row>
    <row r="18" spans="3:9">
      <c r="C18" s="102" t="s">
        <v>240</v>
      </c>
      <c r="D18" s="304">
        <v>500000</v>
      </c>
      <c r="E18" s="216"/>
    </row>
    <row r="19" spans="3:9">
      <c r="C19" s="102" t="s">
        <v>241</v>
      </c>
      <c r="D19" s="147">
        <f>+D18*E19</f>
        <v>500000</v>
      </c>
      <c r="E19" s="305">
        <v>1</v>
      </c>
      <c r="G19" s="244"/>
      <c r="H19" s="245"/>
      <c r="I19" s="246"/>
    </row>
    <row r="20" spans="3:9">
      <c r="C20" s="102" t="s">
        <v>242</v>
      </c>
      <c r="D20" s="304">
        <v>3000000</v>
      </c>
      <c r="E20" s="220"/>
    </row>
    <row r="21" spans="3:9">
      <c r="C21" s="102" t="s">
        <v>243</v>
      </c>
      <c r="D21" s="147">
        <f>+D20*E21</f>
        <v>3000000</v>
      </c>
      <c r="E21" s="306">
        <v>1</v>
      </c>
      <c r="F21" s="172"/>
    </row>
    <row r="23" spans="3:9">
      <c r="D23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INICIO</vt:lpstr>
      <vt:lpstr>C 1</vt:lpstr>
      <vt:lpstr>C 2</vt:lpstr>
      <vt:lpstr>C 3</vt:lpstr>
      <vt:lpstr>C 7</vt:lpstr>
      <vt:lpstr>C 8</vt:lpstr>
      <vt:lpstr>C 9</vt:lpstr>
      <vt:lpstr>C 13</vt:lpstr>
      <vt:lpstr>Datos</vt:lpstr>
      <vt:lpstr>Anualización</vt:lpstr>
      <vt:lpstr>Tarjetas</vt:lpstr>
      <vt:lpstr>DIM PLAT</vt:lpstr>
      <vt:lpstr>DEMANDA</vt:lpstr>
      <vt:lpstr>Líneas</vt:lpstr>
      <vt:lpstr>Tráfico</vt:lpstr>
      <vt:lpstr>ANUALIZACION</vt:lpstr>
      <vt:lpstr>CAPEX_IN</vt:lpstr>
      <vt:lpstr>DATOS_REPARTICION</vt:lpstr>
      <vt:lpstr>Factores_Anualización</vt:lpstr>
      <vt:lpstr>OPEX_IN</vt:lpstr>
      <vt:lpstr>OVERHEAD</vt:lpstr>
      <vt:lpstr>PCT_INGRESOS</vt:lpstr>
      <vt:lpstr>Traf_Plataforma</vt:lpstr>
      <vt:lpstr>Traf_Tarjetas</vt:lpstr>
      <vt:lpstr>VIDA_UTIL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2011-01-14T22:33:23Z</dcterms:created>
  <dcterms:modified xsi:type="dcterms:W3CDTF">2011-07-25T17:14:08Z</dcterms:modified>
</cp:coreProperties>
</file>