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lejandro\Desktop\"/>
    </mc:Choice>
  </mc:AlternateContent>
  <bookViews>
    <workbookView xWindow="0" yWindow="0" windowWidth="14790" windowHeight="12165" tabRatio="688" firstSheet="6" activeTab="7"/>
  </bookViews>
  <sheets>
    <sheet name="Portada" sheetId="2" state="hidden" r:id="rId1"/>
    <sheet name="Analisis TDP" sheetId="34" state="hidden" r:id="rId2"/>
    <sheet name="Analisis Entel" sheetId="36" state="hidden" r:id="rId3"/>
    <sheet name="Analisis Viettel" sheetId="37" state="hidden" r:id="rId4"/>
    <sheet name="General" sheetId="35" state="hidden" r:id="rId5"/>
    <sheet name="INSTRUCCIONES" sheetId="39" r:id="rId6"/>
    <sheet name="Resumen" sheetId="23" r:id="rId7"/>
    <sheet name="BD-Inicio" sheetId="19" r:id="rId8"/>
    <sheet name="Capex de Sistemas" sheetId="21" r:id="rId9"/>
    <sheet name="Opex de Sistemas" sheetId="22" r:id="rId10"/>
    <sheet name="Demanda" sheetId="12" state="hidden" r:id="rId11"/>
    <sheet name="Parámetros" sheetId="4" state="hidden" r:id="rId12"/>
    <sheet name="Sistemas" sheetId="5" state="hidden" r:id="rId13"/>
    <sheet name="Opex de Recibos" sheetId="17" r:id="rId14"/>
    <sheet name="Hoja1" sheetId="38" state="hidden" r:id="rId15"/>
    <sheet name="Costo Recaudacion" sheetId="31" r:id="rId16"/>
    <sheet name="BD-Agentes" sheetId="32" state="hidden" r:id="rId17"/>
    <sheet name="BD-Comision Unitaria" sheetId="33" state="hidden" r:id="rId18"/>
    <sheet name="Entel" sheetId="24" state="hidden" r:id="rId19"/>
    <sheet name="Americatel" sheetId="25" state="hidden" r:id="rId20"/>
    <sheet name="TdP" sheetId="26" state="hidden" r:id="rId21"/>
    <sheet name="America Movil" sheetId="27" state="hidden" r:id="rId22"/>
    <sheet name="Hoja5" sheetId="28" state="hidden" r:id="rId23"/>
    <sheet name="Info_Adic_AM" sheetId="30" state="hidden" r:id="rId24"/>
  </sheets>
  <externalReferences>
    <externalReference r:id="rId25"/>
  </externalReferences>
  <definedNames>
    <definedName name="_xlnm._FilterDatabase" localSheetId="17" hidden="1">'BD-Comision Unitaria'!$B$6:$K$106</definedName>
    <definedName name="_xlnm._FilterDatabase" localSheetId="8" hidden="1">'Capex de Sistemas'!$A$5:$R$19</definedName>
    <definedName name="_xlnm._FilterDatabase" localSheetId="9" hidden="1">'Opex de Sistemas'!$A$6:$L$7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rder1" hidden="1">255</definedName>
    <definedName name="_Order2" hidden="1">255</definedName>
    <definedName name="_xlnm.Print_Area" localSheetId="8">'Capex de Sistemas'!$A$1:$R$19</definedName>
    <definedName name="_xlnm.Print_Area" localSheetId="10">Demanda!$A$1:$T$70</definedName>
    <definedName name="_xlnm.Print_Area" localSheetId="9">'Opex de Sistemas'!$A$2:$M$15</definedName>
    <definedName name="_xlnm.Print_Area" localSheetId="11">Parámetros!$A$1:$T$71</definedName>
    <definedName name="_xlnm.Print_Area" localSheetId="12">Sistemas!$A$1:$S$51</definedName>
    <definedName name="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_Distribucion_FyR_D">'BD-Inicio'!$F$267:$F$267</definedName>
    <definedName name="C_Distribucion_FyR_L">'BD-Inicio'!$F$265:$F$265</definedName>
    <definedName name="C_Distribucion_FyR_P">'BD-Inicio'!$F$266:$F$266</definedName>
    <definedName name="C_Distribucion_Total_D">'BD-Inicio'!$F$263:$F$263</definedName>
    <definedName name="C_Distribucion_Total_L">'BD-Inicio'!$F$261:$F$261</definedName>
    <definedName name="C_Distribucion_Total_P">'BD-Inicio'!$F$262:$F$262</definedName>
    <definedName name="C_Emision_Digital">'BD-Inicio'!$F$233:$F$233</definedName>
    <definedName name="C_Emision_Digital_FyR" localSheetId="2">'BD-Inicio'!#REF!</definedName>
    <definedName name="C_Emision_Digital_FyR" localSheetId="3">'BD-Inicio'!#REF!</definedName>
    <definedName name="C_Emision_Impresion">'BD-Inicio'!$F$231:$F$231</definedName>
    <definedName name="C_Emision_Impresion_FyR" localSheetId="2">'BD-Inicio'!#REF!</definedName>
    <definedName name="C_Emision_Impresion_FyR" localSheetId="3">'BD-Inicio'!#REF!</definedName>
    <definedName name="C_Emision_Impresion_Total" localSheetId="2">'BD-Inicio'!#REF!</definedName>
    <definedName name="C_Emision_Impresion_Total" localSheetId="3">'BD-Inicio'!#REF!</definedName>
    <definedName name="C_Emision_Pre">'BD-Inicio'!$F$230:$F$230</definedName>
    <definedName name="C_Emision_PreForma_FyR" localSheetId="2">'BD-Inicio'!#REF!</definedName>
    <definedName name="C_Emision_PreForma_FyR" localSheetId="3">'BD-Inicio'!#REF!</definedName>
    <definedName name="C_Emision_PreForma_Total" localSheetId="2">'BD-Inicio'!#REF!</definedName>
    <definedName name="C_Emision_PreForma_Total" localSheetId="3">'BD-Inicio'!#REF!</definedName>
    <definedName name="C_Emision_Sobres">'BD-Inicio'!$F$232:$F$232</definedName>
    <definedName name="C_Emision_Sobres_FyR" localSheetId="2">'BD-Inicio'!#REF!</definedName>
    <definedName name="C_Emision_Sobres_FyR" localSheetId="3">'BD-Inicio'!#REF!</definedName>
    <definedName name="C_Emision_Sobres_Total" localSheetId="2">'BD-Inicio'!#REF!</definedName>
    <definedName name="C_Emision_Sobres_Total" localSheetId="3">'BD-Inicio'!#REF!</definedName>
    <definedName name="C_Emision_Total">'BD-Inicio'!$F$229:$F$229</definedName>
    <definedName name="C_Emision_Total_D" localSheetId="2">'BD-Inicio'!#REF!</definedName>
    <definedName name="C_Emision_Total_D" localSheetId="3">'BD-Inicio'!#REF!</definedName>
    <definedName name="C_EmisionFyR_Digital">'BD-Inicio'!$F$239:$F$239</definedName>
    <definedName name="C_EnsobradoFyR">'BD-Inicio'!$F$238:$F$238</definedName>
    <definedName name="C_ImpresiónFyR">'BD-Inicio'!$F$237:$F$237</definedName>
    <definedName name="C_PreformaFyR">'BD-Inicio'!$F$236:$F$236</definedName>
    <definedName name="C_Recaudacion_FyR">'BD-Inicio'!$F$275:$F$275</definedName>
    <definedName name="C_Recaudacion_Total">'BD-Inicio'!$F$274:$F$274</definedName>
    <definedName name="Capex_Operadores">'Capex de Sistemas'!$A$7:$A$19</definedName>
    <definedName name="CC">[1]PARAMETROS!$C$6</definedName>
    <definedName name="Costo_Comisión_FyR">'BD-Inicio'!$F$275:$F$275</definedName>
    <definedName name="Costo_Comision_Min">'BD-Inicio'!$F$274:$F$274</definedName>
    <definedName name="Costo_D_Digital">'Opex de Recibos'!$H$55:$H$55</definedName>
    <definedName name="Costo_D_Lima">'Opex de Recibos'!$H$53:$H$53</definedName>
    <definedName name="Costo_D_Provincia">'Opex de Recibos'!$H$54:$H$54</definedName>
    <definedName name="Costo_Distribución">'Opex de Recibos'!$H$53:$H$55</definedName>
    <definedName name="Costo_DLima_FyR">'BD-Inicio'!$F$265:$F$265</definedName>
    <definedName name="Costo_DProvincia_FyR">'BD-Inicio'!$F$266:$F$266</definedName>
    <definedName name="Costo_Emision_D">'Opex de Recibos'!$H$46:$H$46</definedName>
    <definedName name="Costo_Ensobrado">'Opex de Recibos'!$H$33:$H$39</definedName>
    <definedName name="Costo_Impresion">'Opex de Recibos'!$H$20:$H$26</definedName>
    <definedName name="Costo_Preforma">'Opex de Recibos'!$H$7:$H$13</definedName>
    <definedName name="Costo_Recaudación_x_Recibo">'Opex de Recibos'!$H$61</definedName>
    <definedName name="Costos_comunes" localSheetId="2">#REF!</definedName>
    <definedName name="Costos_comunes" localSheetId="3">#REF!</definedName>
    <definedName name="Cx_Osiptel_Cargo">'Capex de Sistemas'!$Q$6</definedName>
    <definedName name="Cx_Osiptel_VA">'Capex de Sistemas'!$N$6</definedName>
    <definedName name="Cx_Osiptel_VP">'Capex de Sistemas'!$M$6</definedName>
    <definedName name="D_FR">'BD-Inicio'!$F$248:$F$248</definedName>
    <definedName name="D_Lima">'BD-Inicio'!$F$244:$F$244</definedName>
    <definedName name="D_Provincia">'BD-Inicio'!$F$245:$F$245</definedName>
    <definedName name="D_Total_Recibos">'BD-Inicio'!$F$243:$F$243</definedName>
    <definedName name="d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Lima_FyR">'BD-Inicio'!$F$249:$F$249</definedName>
    <definedName name="DProvincia_FyR">'BD-Inicio'!$F$250:$F$250</definedName>
    <definedName name="DTotal_FyR">'BD-Inicio'!$F$248:$F$248</definedName>
    <definedName name="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ntidad_Pago">'BD-Agentes'!$C$1:$D$38</definedName>
    <definedName name="ESTE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actor_Anual">'BD-Inicio'!$F$8:$F$8</definedName>
    <definedName name="Factor_Monto_Recaudacion">'BD-Inicio'!$F$51</definedName>
    <definedName name="Factor_Servicio_FyR">'BD-Inicio'!$F$48:$F$48</definedName>
    <definedName name="Factor_Servicios_OtrosOP">'BD-Inicio'!$F$48:$F$48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ojas">'BD-Inicio'!$E$210:$E$216</definedName>
    <definedName name="Hojas_FyR">'BD-Inicio'!$F$219:$F$225</definedName>
    <definedName name="Hojas_Total">'BD-Inicio'!$F$210:$F$216</definedName>
    <definedName name="hojas_x">'BD-Inicio'!$D$140</definedName>
    <definedName name="Hojas_x_Recibos">'BD-Inicio'!$F$170:$F$176</definedName>
    <definedName name="HxRecibos_FyR">'BD-Inicio'!$F$219:$F$225</definedName>
    <definedName name="HxRecibos_Total">'BD-Inicio'!$F$210:$F$216</definedName>
    <definedName name="id" localSheetId="2">#REF!</definedName>
    <definedName name="id" localSheetId="3">#REF!</definedName>
    <definedName name="id_x" localSheetId="2">#REF!</definedName>
    <definedName name="id_x" localSheetId="3">#REF!</definedName>
    <definedName name="IDxOperador" localSheetId="2">#REF!</definedName>
    <definedName name="IDxOperador" localSheetId="3">#REF!</definedName>
    <definedName name="Impresion">'Opex de Recibos'!$H$20:$H$26</definedName>
    <definedName name="JESSIC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ocal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_fe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_f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odalidad_Pago">'BD-Agentes'!$H$1:$I$8</definedName>
    <definedName name="Moneda_Distribucion">'Opex de Recibos'!$H$52:$H$52</definedName>
    <definedName name="Moneda_Emision_D">'Opex de Recibos'!$H$45:$H$45</definedName>
    <definedName name="Moneda_Impresion">'Opex de Recibos'!$H$19:$H$19</definedName>
    <definedName name="Moneda_Preforma">'Opex de Recibos'!$H$6:$H$6</definedName>
    <definedName name="Moneda_Recaudacion">'Opex de Recibos'!$H$60</definedName>
    <definedName name="Moneda_Sobre">'Opex de Recibos'!$H$32:$H$32</definedName>
    <definedName name="Número_Ops" localSheetId="2">#REF!</definedName>
    <definedName name="Número_Ops" localSheetId="3">#REF!</definedName>
    <definedName name="Número_Servicios" localSheetId="2">#REF!</definedName>
    <definedName name="Número_Servicios" localSheetId="3">#REF!</definedName>
    <definedName name="Operadores_en_Competencia">'BD-Inicio'!$F$47:$F$47</definedName>
    <definedName name="or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tras_actividades" localSheetId="2">#REF!</definedName>
    <definedName name="Otras_actividades" localSheetId="3">#REF!</definedName>
    <definedName name="ot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x_Operador">'Opex de Sistemas'!$F$7:$F$7</definedName>
    <definedName name="Ox_Operadores">'Opex de Sistemas'!$A$7:$A$7</definedName>
    <definedName name="Ox_Osiptel_Cargo">'Opex de Sistemas'!$J$7:$J$7</definedName>
    <definedName name="Paginas_Servicio_Atribuible">'BD-Inicio'!$F$192:$F$192</definedName>
    <definedName name="pedr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rcentaje_DDigital">'BD-Inicio'!$F$256:$F$256</definedName>
    <definedName name="Porcentaje_DLima">'BD-Inicio'!$F$254:$F$254</definedName>
    <definedName name="Porcentaje_DProvincia">'BD-Inicio'!$F$255:$F$255</definedName>
    <definedName name="Porcentaje_Recaudacion">'BD-Inicio'!$F$50</definedName>
    <definedName name="Porcentaje_Recibos_D">'BD-Inicio'!$F$62:$F$62</definedName>
    <definedName name="Preforma">'Opex de Recibos'!$H$7:$H$13</definedName>
    <definedName name="promedio_hojasrecibo_fyr">Resumen!$C$30</definedName>
    <definedName name="Promedio_HojasRecibos_FyR">'BD-Inicio'!$F$189:$F$189</definedName>
    <definedName name="Promedio_Otros_Op">'BD-Inicio'!$F$47:$F$47</definedName>
    <definedName name="Promedio_Pags_Recibo">'BD-Inicio'!$F$186:$F$186</definedName>
    <definedName name="Promedio_Servicios_OtrosOp">'BD-Inicio'!$F$46:$F$46</definedName>
    <definedName name="Promedio_Servicios_pRecibo">'BD-Inicio'!$F$45:$F$45</definedName>
    <definedName name="PromedioM_Recibos_Imp">'BD-Inicio'!$F$81</definedName>
    <definedName name="Promedo_Hojas_Recibo">'BD-Inicio'!$F$185:$F$185</definedName>
    <definedName name="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_Total_Recibos">'BD-Inicio'!$F$271:$F$271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ecaudacion">'BD-Comision Unitaria'!$E$6:$J$106</definedName>
    <definedName name="Recibos_a_Imiprimir_FyR">'BD-Inicio'!$F$226:$F$226</definedName>
    <definedName name="Recibos_Digitales_T">'BD-Inicio'!$F$57:$F$57</definedName>
    <definedName name="Recibos_FyR_Digitales">'BD-Inicio'!$F$59</definedName>
    <definedName name="Recibos_Otros_Op">'BD-Inicio'!$F$44:$F$44</definedName>
    <definedName name="Recibos_Recaudados_FyR">'BD-Inicio'!$F$272:$F$272</definedName>
    <definedName name="Recibos_Recaudados_Total">'BD-Inicio'!$F$42</definedName>
    <definedName name="Recibos_Totales">'BD-Inicio'!$F$41:$F$41</definedName>
    <definedName name="RRecibos_FyR">'BD-Inicio'!$F$272:$F$272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rvicios_n_Competencia">'BD-Inicio'!$F$46:$F$46</definedName>
    <definedName name="Servicios_Prom_x_ReciboFyR">'BD-Inicio'!$F$49</definedName>
    <definedName name="Servicios_x_Recibo_Op">'BD-Inicio'!$F$45:$F$45</definedName>
    <definedName name="Sobres">'Opex de Recibos'!$H$33:$H$39</definedName>
    <definedName name="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_Digital">'BD-Inicio'!$F$246:$F$246</definedName>
    <definedName name="TC_OSIPTEL">'BD-Inicio'!$F$6</definedName>
    <definedName name="TC_VIETTEL">3.223</definedName>
    <definedName name="Total_Recibos_D">'BD-Inicio'!$F$246:$F$246</definedName>
    <definedName name="Total_Recibos_DFyR">'BD-Inicio'!$F$251:$F$251</definedName>
    <definedName name="Total_Recibos_P">'BD-Inicio'!$F$56:$F$56</definedName>
    <definedName name="tp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U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alor_Presente_Osiptel">'Capex de Sistemas'!$M$7:$M$19</definedName>
    <definedName name="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</definedNames>
  <calcPr calcId="152511" calcCompleted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9" l="1"/>
  <c r="F35" i="19"/>
  <c r="F59" i="19"/>
  <c r="F58" i="19"/>
  <c r="C5" i="23"/>
  <c r="F43" i="19"/>
  <c r="F55" i="19"/>
  <c r="F271" i="19"/>
  <c r="F50" i="19"/>
  <c r="C27" i="23"/>
  <c r="C36" i="23"/>
  <c r="C37" i="23"/>
  <c r="C55" i="23"/>
  <c r="C52" i="23"/>
  <c r="F57" i="19"/>
  <c r="C39" i="23"/>
  <c r="F32" i="19"/>
  <c r="F274" i="19"/>
  <c r="F44" i="19"/>
  <c r="F48" i="19"/>
  <c r="F275" i="19"/>
  <c r="F272" i="19"/>
  <c r="C43" i="23"/>
  <c r="C44" i="23"/>
  <c r="C40" i="23"/>
  <c r="C47" i="23"/>
  <c r="C46" i="23"/>
  <c r="F56" i="19"/>
  <c r="C32" i="23"/>
  <c r="F31" i="23"/>
  <c r="C31" i="23"/>
  <c r="F192" i="19"/>
  <c r="C89" i="23"/>
  <c r="H61" i="17"/>
  <c r="AI11" i="31"/>
  <c r="AE6" i="31"/>
  <c r="AI7" i="31"/>
  <c r="AI8" i="31"/>
  <c r="AI9" i="31"/>
  <c r="AI10" i="31"/>
  <c r="F278" i="19"/>
  <c r="F259" i="19"/>
  <c r="F270" i="19"/>
  <c r="F119" i="19"/>
  <c r="F102" i="19"/>
  <c r="F101" i="19"/>
  <c r="F118" i="19"/>
  <c r="F41" i="19"/>
  <c r="F79" i="19"/>
  <c r="F26" i="19"/>
  <c r="F31" i="19"/>
  <c r="F63" i="19"/>
  <c r="F62" i="19"/>
  <c r="F38" i="19"/>
  <c r="F25" i="19"/>
  <c r="F28" i="19"/>
  <c r="F27" i="19"/>
  <c r="F29" i="19"/>
  <c r="F30" i="19"/>
  <c r="F34" i="19"/>
  <c r="F255" i="19"/>
  <c r="F33" i="19"/>
  <c r="F254" i="19"/>
  <c r="C35" i="23"/>
  <c r="F1" i="19"/>
  <c r="F246" i="19"/>
  <c r="F263" i="19"/>
  <c r="F243" i="19"/>
  <c r="F245" i="19"/>
  <c r="F262" i="19"/>
  <c r="F244" i="19"/>
  <c r="F261" i="19"/>
  <c r="F251" i="19"/>
  <c r="F267" i="19"/>
  <c r="F170" i="19"/>
  <c r="F171" i="19"/>
  <c r="F172" i="19"/>
  <c r="F173" i="19"/>
  <c r="F174" i="19"/>
  <c r="F175" i="19"/>
  <c r="F176" i="19"/>
  <c r="F197" i="19"/>
  <c r="F219" i="19"/>
  <c r="F198" i="19"/>
  <c r="F220" i="19"/>
  <c r="F199" i="19"/>
  <c r="F221" i="19"/>
  <c r="F200" i="19"/>
  <c r="F222" i="19"/>
  <c r="F201" i="19"/>
  <c r="F223" i="19"/>
  <c r="F202" i="19"/>
  <c r="F224" i="19"/>
  <c r="F203" i="19"/>
  <c r="F225" i="19"/>
  <c r="F226" i="19"/>
  <c r="F248" i="19"/>
  <c r="F250" i="19"/>
  <c r="F266" i="19"/>
  <c r="F249" i="19"/>
  <c r="F265" i="19"/>
  <c r="AF17" i="31"/>
  <c r="AI17" i="31"/>
  <c r="AF18" i="31"/>
  <c r="AI18" i="31"/>
  <c r="AF19" i="31"/>
  <c r="AI19" i="31"/>
  <c r="AI6" i="31"/>
  <c r="F233" i="19"/>
  <c r="F264" i="19"/>
  <c r="F260" i="19"/>
  <c r="F256" i="19"/>
  <c r="F239" i="19"/>
  <c r="F238" i="19"/>
  <c r="F237" i="19"/>
  <c r="F236" i="19"/>
  <c r="F235" i="19"/>
  <c r="F218" i="19"/>
  <c r="F210" i="19"/>
  <c r="F211" i="19"/>
  <c r="F212" i="19"/>
  <c r="F213" i="19"/>
  <c r="F214" i="19"/>
  <c r="F215" i="19"/>
  <c r="F216" i="19"/>
  <c r="F217" i="19"/>
  <c r="F209" i="19"/>
  <c r="F196" i="19"/>
  <c r="F185" i="19"/>
  <c r="F60" i="19"/>
  <c r="F138" i="19"/>
  <c r="F61" i="19"/>
  <c r="F158" i="19"/>
  <c r="F189" i="19"/>
  <c r="F188" i="19"/>
  <c r="F187" i="19"/>
  <c r="F184" i="19"/>
  <c r="F183" i="19"/>
  <c r="F182" i="19"/>
  <c r="F181" i="19"/>
  <c r="F180" i="19"/>
  <c r="F179" i="19"/>
  <c r="F178" i="19"/>
  <c r="F177" i="19"/>
  <c r="F169" i="19"/>
  <c r="F167" i="19"/>
  <c r="F159" i="19"/>
  <c r="F157" i="19"/>
  <c r="F149" i="19"/>
  <c r="F147" i="19"/>
  <c r="F139" i="19"/>
  <c r="F137" i="19"/>
  <c r="F129" i="19"/>
  <c r="F123" i="19"/>
  <c r="F114" i="19"/>
  <c r="F120" i="19"/>
  <c r="F106" i="19"/>
  <c r="F97" i="19"/>
  <c r="F96" i="19"/>
  <c r="F95" i="19"/>
  <c r="F80" i="19"/>
  <c r="F81" i="19"/>
  <c r="F66" i="19"/>
  <c r="F47" i="19"/>
  <c r="F46" i="19"/>
  <c r="F37" i="19"/>
  <c r="F13" i="19"/>
  <c r="F8" i="19"/>
  <c r="F4" i="19"/>
  <c r="H5" i="17"/>
  <c r="H18" i="17"/>
  <c r="H31" i="17"/>
  <c r="H44" i="17"/>
  <c r="H51" i="17"/>
  <c r="H59" i="17"/>
  <c r="AF16" i="31"/>
  <c r="AF15" i="31"/>
  <c r="AF14" i="31"/>
  <c r="AF13" i="31"/>
  <c r="AF12" i="31"/>
  <c r="AF11" i="31"/>
  <c r="AF10" i="31"/>
  <c r="AF9" i="31"/>
  <c r="AF8" i="31"/>
  <c r="AF7" i="31"/>
  <c r="J11" i="22"/>
  <c r="J10" i="22"/>
  <c r="J9" i="22"/>
  <c r="J8" i="22"/>
  <c r="M9" i="21"/>
  <c r="M8" i="21"/>
  <c r="M7" i="21"/>
  <c r="M10" i="21"/>
  <c r="Q19" i="21"/>
  <c r="Q18" i="21"/>
  <c r="Q17" i="21"/>
  <c r="Q16" i="21"/>
  <c r="Q15" i="21"/>
  <c r="Q14" i="21"/>
  <c r="Q13" i="21"/>
  <c r="Q12" i="21"/>
  <c r="Q11" i="21"/>
  <c r="K10" i="21"/>
  <c r="N10" i="21"/>
  <c r="Q10" i="21"/>
  <c r="K9" i="21"/>
  <c r="N9" i="21"/>
  <c r="Q9" i="21"/>
  <c r="K8" i="21"/>
  <c r="N8" i="21"/>
  <c r="Q8" i="21"/>
  <c r="K7" i="21"/>
  <c r="N7" i="21"/>
  <c r="Q7" i="21"/>
  <c r="E123" i="19"/>
  <c r="E122" i="19"/>
  <c r="E121" i="19"/>
  <c r="E120" i="19"/>
  <c r="E119" i="19"/>
  <c r="E118" i="19"/>
  <c r="E6" i="31"/>
  <c r="E7" i="31"/>
  <c r="M6" i="21"/>
  <c r="N6" i="21"/>
  <c r="Q6" i="21"/>
  <c r="J7" i="22"/>
  <c r="C19" i="32"/>
  <c r="C9" i="32"/>
  <c r="C14" i="32"/>
  <c r="C16" i="32"/>
  <c r="C1" i="32"/>
  <c r="C2" i="32"/>
  <c r="C3" i="32"/>
  <c r="C4" i="32"/>
  <c r="C5" i="32"/>
  <c r="C6" i="32"/>
  <c r="C7" i="32"/>
  <c r="C8" i="32"/>
  <c r="C10" i="32"/>
  <c r="C11" i="32"/>
  <c r="C12" i="32"/>
  <c r="C13" i="32"/>
  <c r="C15" i="32"/>
  <c r="C17" i="32"/>
  <c r="C18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7" i="33"/>
  <c r="D7" i="33"/>
  <c r="E7" i="33"/>
  <c r="C8" i="33"/>
  <c r="D8" i="33"/>
  <c r="E8" i="33"/>
  <c r="C9" i="33"/>
  <c r="D9" i="33"/>
  <c r="E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62" i="33"/>
  <c r="M63" i="33"/>
  <c r="M64" i="33"/>
  <c r="M65" i="33"/>
  <c r="M66" i="33"/>
  <c r="M67" i="33"/>
  <c r="M68" i="33"/>
  <c r="M69" i="33"/>
  <c r="M70" i="33"/>
  <c r="M71" i="33"/>
  <c r="M72" i="33"/>
  <c r="M73" i="33"/>
  <c r="M74" i="33"/>
  <c r="M75" i="33"/>
  <c r="M76" i="33"/>
  <c r="M77" i="33"/>
  <c r="M78" i="33"/>
  <c r="M79" i="33"/>
  <c r="M80" i="33"/>
  <c r="M81" i="33"/>
  <c r="M82" i="33"/>
  <c r="M83" i="33"/>
  <c r="M84" i="33"/>
  <c r="M85" i="33"/>
  <c r="M86" i="33"/>
  <c r="M87" i="33"/>
  <c r="M88" i="33"/>
  <c r="M89" i="33"/>
  <c r="M90" i="33"/>
  <c r="M91" i="33"/>
  <c r="M92" i="33"/>
  <c r="M93" i="33"/>
  <c r="M94" i="33"/>
  <c r="M95" i="33"/>
  <c r="M100" i="33"/>
  <c r="M101" i="33"/>
  <c r="M102" i="33"/>
  <c r="M103" i="33"/>
  <c r="M104" i="33"/>
  <c r="M105" i="33"/>
  <c r="M106" i="33"/>
  <c r="M5" i="33"/>
  <c r="J7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29" i="33"/>
  <c r="Q30" i="33"/>
  <c r="Q31" i="33"/>
  <c r="Q32" i="33"/>
  <c r="Q33" i="33"/>
  <c r="Q34" i="33"/>
  <c r="Q35" i="33"/>
  <c r="Q36" i="33"/>
  <c r="Q37" i="33"/>
  <c r="Q38" i="33"/>
  <c r="Q39" i="33"/>
  <c r="Q40" i="33"/>
  <c r="Q41" i="33"/>
  <c r="Q42" i="33"/>
  <c r="Q43" i="33"/>
  <c r="Q44" i="33"/>
  <c r="Q45" i="33"/>
  <c r="Q46" i="33"/>
  <c r="Q47" i="33"/>
  <c r="Q48" i="33"/>
  <c r="Q62" i="33"/>
  <c r="Q63" i="33"/>
  <c r="Q64" i="33"/>
  <c r="Q65" i="33"/>
  <c r="Q66" i="33"/>
  <c r="Q67" i="33"/>
  <c r="Q68" i="33"/>
  <c r="Q69" i="33"/>
  <c r="Q70" i="33"/>
  <c r="Q71" i="33"/>
  <c r="Q72" i="33"/>
  <c r="Q73" i="33"/>
  <c r="Q74" i="33"/>
  <c r="Q75" i="33"/>
  <c r="Q76" i="33"/>
  <c r="Q77" i="33"/>
  <c r="Q78" i="33"/>
  <c r="Q79" i="33"/>
  <c r="Q80" i="33"/>
  <c r="Q81" i="33"/>
  <c r="Q82" i="33"/>
  <c r="Q83" i="33"/>
  <c r="Q84" i="33"/>
  <c r="Q85" i="33"/>
  <c r="Q86" i="33"/>
  <c r="Q87" i="33"/>
  <c r="Q88" i="33"/>
  <c r="Q89" i="33"/>
  <c r="Q90" i="33"/>
  <c r="Q91" i="33"/>
  <c r="Q92" i="33"/>
  <c r="Q93" i="33"/>
  <c r="Q94" i="33"/>
  <c r="Q95" i="33"/>
  <c r="Q97" i="33"/>
  <c r="Q100" i="33"/>
  <c r="Q101" i="33"/>
  <c r="Q102" i="33"/>
  <c r="Q103" i="33"/>
  <c r="Q104" i="33"/>
  <c r="Q105" i="33"/>
  <c r="Q106" i="33"/>
  <c r="Q5" i="33"/>
  <c r="J8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28" i="33"/>
  <c r="S29" i="33"/>
  <c r="S30" i="33"/>
  <c r="S31" i="33"/>
  <c r="S32" i="33"/>
  <c r="S33" i="33"/>
  <c r="S34" i="33"/>
  <c r="S35" i="33"/>
  <c r="S36" i="33"/>
  <c r="S37" i="33"/>
  <c r="S38" i="33"/>
  <c r="S39" i="33"/>
  <c r="S40" i="33"/>
  <c r="S41" i="33"/>
  <c r="S42" i="33"/>
  <c r="S43" i="33"/>
  <c r="S44" i="33"/>
  <c r="S45" i="33"/>
  <c r="S46" i="33"/>
  <c r="S47" i="33"/>
  <c r="S48" i="33"/>
  <c r="S49" i="33"/>
  <c r="S50" i="33"/>
  <c r="S51" i="33"/>
  <c r="S52" i="33"/>
  <c r="S53" i="33"/>
  <c r="S54" i="33"/>
  <c r="S55" i="33"/>
  <c r="S56" i="33"/>
  <c r="S57" i="33"/>
  <c r="S58" i="33"/>
  <c r="S59" i="33"/>
  <c r="S60" i="33"/>
  <c r="S61" i="33"/>
  <c r="S62" i="33"/>
  <c r="S63" i="33"/>
  <c r="S64" i="33"/>
  <c r="S65" i="33"/>
  <c r="S66" i="33"/>
  <c r="S67" i="33"/>
  <c r="S68" i="33"/>
  <c r="S69" i="33"/>
  <c r="S70" i="33"/>
  <c r="S71" i="33"/>
  <c r="S72" i="33"/>
  <c r="S73" i="33"/>
  <c r="S74" i="33"/>
  <c r="S75" i="33"/>
  <c r="S76" i="33"/>
  <c r="S77" i="33"/>
  <c r="S78" i="33"/>
  <c r="S79" i="33"/>
  <c r="S80" i="33"/>
  <c r="S81" i="33"/>
  <c r="S82" i="33"/>
  <c r="S83" i="33"/>
  <c r="S84" i="33"/>
  <c r="S85" i="33"/>
  <c r="S86" i="33"/>
  <c r="S87" i="33"/>
  <c r="S88" i="33"/>
  <c r="S89" i="33"/>
  <c r="S90" i="33"/>
  <c r="S91" i="33"/>
  <c r="S92" i="33"/>
  <c r="S93" i="33"/>
  <c r="S94" i="33"/>
  <c r="S95" i="33"/>
  <c r="S97" i="33"/>
  <c r="S100" i="33"/>
  <c r="S101" i="33"/>
  <c r="S102" i="33"/>
  <c r="S103" i="33"/>
  <c r="S104" i="33"/>
  <c r="S105" i="33"/>
  <c r="S106" i="33"/>
  <c r="S5" i="33"/>
  <c r="J9" i="33"/>
  <c r="C10" i="33"/>
  <c r="D10" i="33"/>
  <c r="E10" i="33"/>
  <c r="C11" i="33"/>
  <c r="D11" i="33"/>
  <c r="E11" i="33"/>
  <c r="C12" i="33"/>
  <c r="D12" i="33"/>
  <c r="E12" i="33"/>
  <c r="C13" i="33"/>
  <c r="D13" i="33"/>
  <c r="E13" i="33"/>
  <c r="C14" i="33"/>
  <c r="D14" i="33"/>
  <c r="E14" i="33"/>
  <c r="C15" i="33"/>
  <c r="D15" i="33"/>
  <c r="E15" i="33"/>
  <c r="C16" i="33"/>
  <c r="D16" i="33"/>
  <c r="E16" i="33"/>
  <c r="C17" i="33"/>
  <c r="D17" i="33"/>
  <c r="E17" i="33"/>
  <c r="C18" i="33"/>
  <c r="D18" i="33"/>
  <c r="E18" i="33"/>
  <c r="C19" i="33"/>
  <c r="D19" i="33"/>
  <c r="E19" i="33"/>
  <c r="C20" i="33"/>
  <c r="D20" i="33"/>
  <c r="E20" i="33"/>
  <c r="C21" i="33"/>
  <c r="D21" i="33"/>
  <c r="E21" i="33"/>
  <c r="C22" i="33"/>
  <c r="D22" i="33"/>
  <c r="E22" i="33"/>
  <c r="C23" i="33"/>
  <c r="D23" i="33"/>
  <c r="E23" i="33"/>
  <c r="C24" i="33"/>
  <c r="D24" i="33"/>
  <c r="E24" i="33"/>
  <c r="C25" i="33"/>
  <c r="D25" i="33"/>
  <c r="E25" i="33"/>
  <c r="C26" i="33"/>
  <c r="D26" i="33"/>
  <c r="E26" i="33"/>
  <c r="C27" i="33"/>
  <c r="D27" i="33"/>
  <c r="E27" i="33"/>
  <c r="C28" i="33"/>
  <c r="D28" i="33"/>
  <c r="E28" i="33"/>
  <c r="C29" i="33"/>
  <c r="D29" i="33"/>
  <c r="E29" i="33"/>
  <c r="C30" i="33"/>
  <c r="D30" i="33"/>
  <c r="E30" i="33"/>
  <c r="C31" i="33"/>
  <c r="D31" i="33"/>
  <c r="E31" i="33"/>
  <c r="C32" i="33"/>
  <c r="D32" i="33"/>
  <c r="E32" i="33"/>
  <c r="C33" i="33"/>
  <c r="D33" i="33"/>
  <c r="E33" i="33"/>
  <c r="C34" i="33"/>
  <c r="D34" i="33"/>
  <c r="E34" i="33"/>
  <c r="C35" i="33"/>
  <c r="D35" i="33"/>
  <c r="E35" i="33"/>
  <c r="C36" i="33"/>
  <c r="D36" i="33"/>
  <c r="E36" i="33"/>
  <c r="C37" i="33"/>
  <c r="D37" i="33"/>
  <c r="E37" i="33"/>
  <c r="C38" i="33"/>
  <c r="D38" i="33"/>
  <c r="E38" i="33"/>
  <c r="C39" i="33"/>
  <c r="D39" i="33"/>
  <c r="E39" i="33"/>
  <c r="C40" i="33"/>
  <c r="D40" i="33"/>
  <c r="E40" i="33"/>
  <c r="C41" i="33"/>
  <c r="D41" i="33"/>
  <c r="E41" i="33"/>
  <c r="C42" i="33"/>
  <c r="D42" i="33"/>
  <c r="E42" i="33"/>
  <c r="C43" i="33"/>
  <c r="D43" i="33"/>
  <c r="E43" i="33"/>
  <c r="C44" i="33"/>
  <c r="D44" i="33"/>
  <c r="E44" i="33"/>
  <c r="C45" i="33"/>
  <c r="D45" i="33"/>
  <c r="E45" i="33"/>
  <c r="C46" i="33"/>
  <c r="D46" i="33"/>
  <c r="E46" i="33"/>
  <c r="C47" i="33"/>
  <c r="D47" i="33"/>
  <c r="E47" i="33"/>
  <c r="C48" i="33"/>
  <c r="D48" i="33"/>
  <c r="E48" i="33"/>
  <c r="C49" i="33"/>
  <c r="D49" i="33"/>
  <c r="E4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R29" i="33"/>
  <c r="R30" i="33"/>
  <c r="R31" i="33"/>
  <c r="R32" i="33"/>
  <c r="R33" i="33"/>
  <c r="R34" i="33"/>
  <c r="R35" i="33"/>
  <c r="R36" i="33"/>
  <c r="R37" i="33"/>
  <c r="R38" i="33"/>
  <c r="R39" i="33"/>
  <c r="R40" i="33"/>
  <c r="R41" i="33"/>
  <c r="R42" i="33"/>
  <c r="R43" i="33"/>
  <c r="R44" i="33"/>
  <c r="R45" i="33"/>
  <c r="R46" i="33"/>
  <c r="R47" i="33"/>
  <c r="R48" i="33"/>
  <c r="R62" i="33"/>
  <c r="R63" i="33"/>
  <c r="R64" i="33"/>
  <c r="R65" i="33"/>
  <c r="R66" i="33"/>
  <c r="R67" i="33"/>
  <c r="R68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85" i="33"/>
  <c r="R86" i="33"/>
  <c r="R87" i="33"/>
  <c r="R88" i="33"/>
  <c r="R89" i="33"/>
  <c r="R90" i="33"/>
  <c r="R91" i="33"/>
  <c r="R92" i="33"/>
  <c r="R93" i="33"/>
  <c r="R94" i="33"/>
  <c r="R95" i="33"/>
  <c r="R97" i="33"/>
  <c r="R100" i="33"/>
  <c r="R101" i="33"/>
  <c r="R102" i="33"/>
  <c r="R103" i="33"/>
  <c r="R104" i="33"/>
  <c r="R105" i="33"/>
  <c r="R106" i="33"/>
  <c r="R5" i="33"/>
  <c r="J49" i="33"/>
  <c r="C50" i="33"/>
  <c r="D50" i="33"/>
  <c r="E50" i="33"/>
  <c r="J50" i="33"/>
  <c r="C51" i="33"/>
  <c r="D51" i="33"/>
  <c r="E51" i="33"/>
  <c r="J51" i="33"/>
  <c r="C52" i="33"/>
  <c r="D52" i="33"/>
  <c r="E52" i="33"/>
  <c r="J52" i="33"/>
  <c r="C53" i="33"/>
  <c r="D53" i="33"/>
  <c r="E53" i="33"/>
  <c r="O10" i="33"/>
  <c r="O12" i="33"/>
  <c r="O13" i="33"/>
  <c r="O14" i="33"/>
  <c r="O16" i="33"/>
  <c r="O17" i="33"/>
  <c r="O18" i="33"/>
  <c r="O19" i="33"/>
  <c r="O20" i="33"/>
  <c r="O21" i="33"/>
  <c r="O22" i="33"/>
  <c r="O23" i="33"/>
  <c r="O24" i="33"/>
  <c r="O25" i="33"/>
  <c r="O26" i="33"/>
  <c r="O27" i="33"/>
  <c r="O28" i="33"/>
  <c r="O30" i="33"/>
  <c r="O31" i="33"/>
  <c r="O32" i="33"/>
  <c r="O34" i="33"/>
  <c r="O35" i="33"/>
  <c r="O36" i="33"/>
  <c r="O37" i="33"/>
  <c r="O38" i="33"/>
  <c r="O39" i="33"/>
  <c r="O40" i="33"/>
  <c r="O41" i="33"/>
  <c r="O42" i="33"/>
  <c r="O43" i="33"/>
  <c r="O44" i="33"/>
  <c r="O45" i="33"/>
  <c r="O46" i="33"/>
  <c r="O47" i="33"/>
  <c r="O48" i="33"/>
  <c r="O62" i="33"/>
  <c r="O63" i="33"/>
  <c r="O64" i="33"/>
  <c r="O65" i="33"/>
  <c r="O66" i="33"/>
  <c r="O67" i="33"/>
  <c r="O68" i="33"/>
  <c r="O69" i="33"/>
  <c r="O70" i="33"/>
  <c r="O71" i="33"/>
  <c r="O72" i="33"/>
  <c r="O73" i="33"/>
  <c r="O74" i="33"/>
  <c r="O75" i="33"/>
  <c r="O76" i="33"/>
  <c r="O77" i="33"/>
  <c r="O78" i="33"/>
  <c r="O79" i="33"/>
  <c r="O80" i="33"/>
  <c r="O81" i="33"/>
  <c r="O82" i="33"/>
  <c r="O83" i="33"/>
  <c r="O84" i="33"/>
  <c r="O85" i="33"/>
  <c r="O86" i="33"/>
  <c r="O87" i="33"/>
  <c r="O88" i="33"/>
  <c r="O89" i="33"/>
  <c r="O90" i="33"/>
  <c r="O91" i="33"/>
  <c r="O92" i="33"/>
  <c r="O93" i="33"/>
  <c r="O94" i="33"/>
  <c r="O95" i="33"/>
  <c r="O97" i="33"/>
  <c r="O100" i="33"/>
  <c r="O101" i="33"/>
  <c r="O102" i="33"/>
  <c r="O103" i="33"/>
  <c r="O104" i="33"/>
  <c r="O105" i="33"/>
  <c r="O106" i="33"/>
  <c r="O5" i="33"/>
  <c r="J53" i="33"/>
  <c r="C54" i="33"/>
  <c r="D54" i="33"/>
  <c r="E54" i="33"/>
  <c r="J54" i="33"/>
  <c r="C55" i="33"/>
  <c r="D55" i="33"/>
  <c r="E55" i="33"/>
  <c r="J55" i="33"/>
  <c r="C56" i="33"/>
  <c r="D56" i="33"/>
  <c r="E56" i="33"/>
  <c r="J56" i="33"/>
  <c r="C57" i="33"/>
  <c r="D57" i="33"/>
  <c r="E57" i="33"/>
  <c r="J57" i="33"/>
  <c r="C58" i="33"/>
  <c r="D58" i="33"/>
  <c r="E58" i="33"/>
  <c r="J58" i="33"/>
  <c r="C59" i="33"/>
  <c r="D59" i="33"/>
  <c r="E59" i="33"/>
  <c r="J59" i="33"/>
  <c r="C60" i="33"/>
  <c r="D60" i="33"/>
  <c r="E60" i="33"/>
  <c r="J60" i="33"/>
  <c r="C61" i="33"/>
  <c r="D61" i="33"/>
  <c r="E61" i="33"/>
  <c r="J61" i="33"/>
  <c r="C62" i="33"/>
  <c r="D62" i="33"/>
  <c r="E62" i="33"/>
  <c r="C63" i="33"/>
  <c r="D63" i="33"/>
  <c r="E63" i="33"/>
  <c r="C64" i="33"/>
  <c r="D64" i="33"/>
  <c r="E64" i="33"/>
  <c r="C65" i="33"/>
  <c r="D65" i="33"/>
  <c r="E65" i="33"/>
  <c r="C66" i="33"/>
  <c r="D66" i="33"/>
  <c r="E66" i="33"/>
  <c r="C67" i="33"/>
  <c r="D67" i="33"/>
  <c r="E67" i="33"/>
  <c r="C68" i="33"/>
  <c r="D68" i="33"/>
  <c r="E68" i="33"/>
  <c r="C69" i="33"/>
  <c r="D69" i="33"/>
  <c r="E69" i="33"/>
  <c r="C70" i="33"/>
  <c r="D70" i="33"/>
  <c r="E70" i="33"/>
  <c r="C71" i="33"/>
  <c r="D71" i="33"/>
  <c r="E71" i="33"/>
  <c r="C72" i="33"/>
  <c r="D72" i="33"/>
  <c r="E72" i="33"/>
  <c r="C73" i="33"/>
  <c r="D73" i="33"/>
  <c r="E73" i="33"/>
  <c r="C74" i="33"/>
  <c r="D74" i="33"/>
  <c r="E74" i="33"/>
  <c r="C75" i="33"/>
  <c r="D75" i="33"/>
  <c r="E75" i="33"/>
  <c r="C76" i="33"/>
  <c r="D76" i="33"/>
  <c r="E76" i="33"/>
  <c r="C77" i="33"/>
  <c r="D77" i="33"/>
  <c r="E77" i="33"/>
  <c r="C78" i="33"/>
  <c r="D78" i="33"/>
  <c r="E78" i="33"/>
  <c r="C79" i="33"/>
  <c r="D79" i="33"/>
  <c r="E79" i="33"/>
  <c r="C80" i="33"/>
  <c r="D80" i="33"/>
  <c r="E80" i="33"/>
  <c r="C81" i="33"/>
  <c r="D81" i="33"/>
  <c r="E81" i="33"/>
  <c r="C82" i="33"/>
  <c r="D82" i="33"/>
  <c r="E82" i="33"/>
  <c r="C83" i="33"/>
  <c r="D83" i="33"/>
  <c r="E83" i="33"/>
  <c r="C84" i="33"/>
  <c r="D84" i="33"/>
  <c r="E84" i="33"/>
  <c r="C85" i="33"/>
  <c r="D85" i="33"/>
  <c r="E85" i="33"/>
  <c r="C86" i="33"/>
  <c r="D86" i="33"/>
  <c r="E86" i="33"/>
  <c r="C87" i="33"/>
  <c r="D87" i="33"/>
  <c r="E87" i="33"/>
  <c r="C88" i="33"/>
  <c r="D88" i="33"/>
  <c r="E88" i="33"/>
  <c r="C89" i="33"/>
  <c r="D89" i="33"/>
  <c r="E89" i="33"/>
  <c r="C90" i="33"/>
  <c r="D90" i="33"/>
  <c r="E90" i="33"/>
  <c r="C91" i="33"/>
  <c r="D91" i="33"/>
  <c r="E91" i="33"/>
  <c r="C92" i="33"/>
  <c r="D92" i="33"/>
  <c r="E92" i="33"/>
  <c r="C93" i="33"/>
  <c r="D93" i="33"/>
  <c r="E93" i="33"/>
  <c r="C94" i="33"/>
  <c r="D94" i="33"/>
  <c r="E94" i="33"/>
  <c r="C95" i="33"/>
  <c r="D95" i="33"/>
  <c r="E95" i="33"/>
  <c r="C96" i="33"/>
  <c r="D96" i="33"/>
  <c r="E96" i="33"/>
  <c r="J96" i="33"/>
  <c r="C97" i="33"/>
  <c r="D97" i="33"/>
  <c r="E97" i="33"/>
  <c r="J97" i="33"/>
  <c r="C98" i="33"/>
  <c r="D98" i="33"/>
  <c r="E98" i="33"/>
  <c r="J98" i="33"/>
  <c r="C99" i="33"/>
  <c r="D99" i="33"/>
  <c r="E9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N40" i="33"/>
  <c r="N41" i="33"/>
  <c r="N42" i="33"/>
  <c r="N43" i="33"/>
  <c r="N44" i="33"/>
  <c r="N45" i="33"/>
  <c r="N46" i="33"/>
  <c r="N47" i="33"/>
  <c r="N48" i="33"/>
  <c r="N62" i="33"/>
  <c r="N63" i="33"/>
  <c r="N64" i="33"/>
  <c r="N65" i="33"/>
  <c r="N66" i="33"/>
  <c r="N67" i="33"/>
  <c r="N68" i="33"/>
  <c r="N69" i="33"/>
  <c r="N70" i="33"/>
  <c r="N71" i="33"/>
  <c r="N72" i="33"/>
  <c r="N73" i="33"/>
  <c r="N74" i="33"/>
  <c r="N75" i="33"/>
  <c r="N76" i="33"/>
  <c r="N77" i="33"/>
  <c r="N78" i="33"/>
  <c r="N79" i="33"/>
  <c r="N80" i="33"/>
  <c r="N81" i="33"/>
  <c r="N82" i="33"/>
  <c r="N83" i="33"/>
  <c r="N84" i="33"/>
  <c r="N85" i="33"/>
  <c r="N86" i="33"/>
  <c r="N87" i="33"/>
  <c r="N88" i="33"/>
  <c r="N89" i="33"/>
  <c r="N90" i="33"/>
  <c r="N91" i="33"/>
  <c r="N92" i="33"/>
  <c r="N93" i="33"/>
  <c r="N94" i="33"/>
  <c r="N95" i="33"/>
  <c r="N97" i="33"/>
  <c r="N100" i="33"/>
  <c r="N101" i="33"/>
  <c r="N102" i="33"/>
  <c r="N103" i="33"/>
  <c r="N104" i="33"/>
  <c r="N105" i="33"/>
  <c r="N106" i="33"/>
  <c r="N5" i="33"/>
  <c r="J99" i="33"/>
  <c r="C100" i="33"/>
  <c r="D100" i="33"/>
  <c r="E100" i="33"/>
  <c r="C101" i="33"/>
  <c r="D101" i="33"/>
  <c r="E101" i="33"/>
  <c r="C102" i="33"/>
  <c r="D102" i="33"/>
  <c r="E102" i="33"/>
  <c r="C103" i="33"/>
  <c r="D103" i="33"/>
  <c r="E103" i="33"/>
  <c r="C104" i="33"/>
  <c r="D104" i="33"/>
  <c r="E104" i="33"/>
  <c r="C105" i="33"/>
  <c r="D105" i="33"/>
  <c r="E105" i="33"/>
  <c r="C106" i="33"/>
  <c r="D106" i="33"/>
  <c r="E106" i="33"/>
  <c r="C30" i="23"/>
  <c r="C26" i="23"/>
  <c r="C25" i="23"/>
  <c r="E111" i="19"/>
  <c r="E109" i="19"/>
  <c r="P106" i="33"/>
  <c r="P105" i="33"/>
  <c r="P104" i="33"/>
  <c r="P103" i="33"/>
  <c r="P102" i="33"/>
  <c r="P101" i="33"/>
  <c r="P100" i="33"/>
  <c r="P97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6" i="33"/>
  <c r="P47" i="33"/>
  <c r="P48" i="33"/>
  <c r="P62" i="33"/>
  <c r="P63" i="33"/>
  <c r="P64" i="33"/>
  <c r="P65" i="33"/>
  <c r="P66" i="33"/>
  <c r="P67" i="33"/>
  <c r="P68" i="33"/>
  <c r="P69" i="33"/>
  <c r="P70" i="33"/>
  <c r="P71" i="33"/>
  <c r="P72" i="33"/>
  <c r="P73" i="33"/>
  <c r="P74" i="33"/>
  <c r="P75" i="33"/>
  <c r="P76" i="33"/>
  <c r="P77" i="33"/>
  <c r="P78" i="33"/>
  <c r="P79" i="33"/>
  <c r="P80" i="33"/>
  <c r="P81" i="33"/>
  <c r="P82" i="33"/>
  <c r="P83" i="33"/>
  <c r="P84" i="33"/>
  <c r="P85" i="33"/>
  <c r="P86" i="33"/>
  <c r="P87" i="33"/>
  <c r="P88" i="33"/>
  <c r="P89" i="33"/>
  <c r="P90" i="33"/>
  <c r="P91" i="33"/>
  <c r="P92" i="33"/>
  <c r="P93" i="33"/>
  <c r="P94" i="33"/>
  <c r="P95" i="33"/>
  <c r="P5" i="33"/>
  <c r="E2" i="12"/>
  <c r="D2" i="4"/>
  <c r="M9" i="5"/>
  <c r="R9" i="5"/>
  <c r="N9" i="5"/>
  <c r="O9" i="5"/>
  <c r="P9" i="5"/>
  <c r="Q9" i="5"/>
  <c r="L9" i="5"/>
  <c r="K9" i="5"/>
  <c r="G9" i="5"/>
  <c r="F9" i="5"/>
  <c r="E9" i="5"/>
  <c r="E2" i="5"/>
  <c r="R23" i="5"/>
  <c r="I44" i="5"/>
  <c r="E20" i="5"/>
  <c r="G24" i="5"/>
  <c r="M19" i="5"/>
  <c r="O18" i="5"/>
  <c r="L22" i="5"/>
  <c r="K15" i="5"/>
  <c r="F43" i="5"/>
  <c r="Q15" i="5"/>
  <c r="P26" i="5"/>
  <c r="E24" i="5"/>
  <c r="R15" i="5"/>
  <c r="O12" i="5"/>
  <c r="P24" i="5"/>
  <c r="Q21" i="5"/>
  <c r="E37" i="5"/>
  <c r="I37" i="5"/>
  <c r="O20" i="5"/>
  <c r="P12" i="5"/>
  <c r="N23" i="5"/>
  <c r="P13" i="5"/>
  <c r="G20" i="5"/>
  <c r="L20" i="5"/>
  <c r="F20" i="5"/>
  <c r="L12" i="5"/>
  <c r="Q10" i="5"/>
  <c r="H41" i="5"/>
  <c r="I36" i="5"/>
  <c r="G13" i="5"/>
  <c r="E13" i="5"/>
  <c r="N13" i="5"/>
  <c r="K26" i="5"/>
  <c r="E16" i="5"/>
  <c r="I47" i="5"/>
  <c r="H40" i="5"/>
  <c r="M28" i="5"/>
  <c r="M10" i="5"/>
  <c r="N18" i="5"/>
  <c r="P20" i="5"/>
  <c r="Q23" i="5"/>
  <c r="R25" i="5"/>
  <c r="M27" i="5"/>
  <c r="M11" i="5"/>
  <c r="N15" i="5"/>
  <c r="O11" i="5"/>
  <c r="Q12" i="5"/>
  <c r="R20" i="5"/>
  <c r="M17" i="5"/>
  <c r="M24" i="5"/>
  <c r="K18" i="5"/>
  <c r="F27" i="5"/>
  <c r="E12" i="5"/>
  <c r="I40" i="5"/>
  <c r="H46" i="5"/>
  <c r="L11" i="5"/>
  <c r="E19" i="5"/>
  <c r="H35" i="5"/>
  <c r="K16" i="5"/>
  <c r="R26" i="5"/>
  <c r="E44" i="5"/>
  <c r="P18" i="5"/>
  <c r="H43" i="5"/>
  <c r="E15" i="5"/>
  <c r="Q11" i="5"/>
  <c r="O29" i="5"/>
  <c r="Q17" i="5"/>
  <c r="O24" i="5"/>
  <c r="K13" i="5"/>
  <c r="G17" i="5"/>
  <c r="G22" i="5"/>
  <c r="E35" i="5"/>
  <c r="F39" i="5"/>
  <c r="Q19" i="5"/>
  <c r="Q22" i="5"/>
  <c r="I43" i="5"/>
  <c r="F23" i="5"/>
  <c r="R22" i="5"/>
  <c r="H36" i="5"/>
  <c r="G18" i="5"/>
  <c r="N28" i="5"/>
  <c r="E38" i="5"/>
  <c r="N20" i="5"/>
  <c r="O23" i="5"/>
  <c r="R27" i="5"/>
  <c r="M13" i="5"/>
  <c r="R29" i="5"/>
  <c r="G26" i="5"/>
  <c r="Q28" i="5"/>
  <c r="L21" i="5"/>
  <c r="I42" i="5"/>
  <c r="P17" i="5"/>
  <c r="Q25" i="5"/>
  <c r="L29" i="5"/>
  <c r="E29" i="5"/>
  <c r="F48" i="5"/>
  <c r="P11" i="5"/>
  <c r="K14" i="5"/>
  <c r="F25" i="5"/>
  <c r="F10" i="5"/>
  <c r="F40" i="5"/>
  <c r="O28" i="5"/>
  <c r="N19" i="5"/>
  <c r="P29" i="5"/>
  <c r="K24" i="5"/>
  <c r="R10" i="5"/>
  <c r="R30" i="5"/>
  <c r="L10" i="5"/>
  <c r="F24" i="5"/>
  <c r="N21" i="5"/>
  <c r="P19" i="5"/>
  <c r="M23" i="5"/>
  <c r="O14" i="5"/>
  <c r="I49" i="5"/>
  <c r="I46" i="5"/>
  <c r="F36" i="5"/>
  <c r="E10" i="5"/>
  <c r="F18" i="5"/>
  <c r="E25" i="5"/>
  <c r="F13" i="5"/>
  <c r="K12" i="5"/>
  <c r="K29" i="5"/>
  <c r="L17" i="5"/>
  <c r="M16" i="5"/>
  <c r="M18" i="5"/>
  <c r="P14" i="5"/>
  <c r="R19" i="5"/>
  <c r="N25" i="5"/>
  <c r="N14" i="5"/>
  <c r="K19" i="5"/>
  <c r="G23" i="5"/>
  <c r="G28" i="5"/>
  <c r="E41" i="5"/>
  <c r="H38" i="5"/>
  <c r="Q24" i="5"/>
  <c r="L27" i="5"/>
  <c r="G16" i="5"/>
  <c r="H42" i="5"/>
  <c r="L14" i="5"/>
  <c r="P21" i="5"/>
  <c r="L19" i="5"/>
  <c r="E27" i="5"/>
  <c r="H47" i="5"/>
  <c r="H39" i="5"/>
  <c r="F12" i="5"/>
  <c r="G27" i="5"/>
  <c r="K23" i="5"/>
  <c r="N10" i="5"/>
  <c r="O17" i="5"/>
  <c r="F41" i="5"/>
  <c r="F46" i="5"/>
  <c r="E49" i="5"/>
  <c r="E28" i="5"/>
  <c r="F16" i="5"/>
  <c r="E23" i="5"/>
  <c r="F11" i="5"/>
  <c r="L28" i="5"/>
  <c r="K27" i="5"/>
  <c r="L15" i="5"/>
  <c r="M26" i="5"/>
  <c r="Q13" i="5"/>
  <c r="O25" i="5"/>
  <c r="R12" i="5"/>
  <c r="R28" i="5"/>
  <c r="R14" i="5"/>
  <c r="Q26" i="5"/>
  <c r="P23" i="5"/>
  <c r="O19" i="5"/>
  <c r="F15" i="5"/>
  <c r="R18" i="5"/>
  <c r="R11" i="5"/>
  <c r="E39" i="5"/>
  <c r="P25" i="5"/>
  <c r="K17" i="5"/>
  <c r="I41" i="5"/>
  <c r="L23" i="5"/>
  <c r="O21" i="5"/>
  <c r="P28" i="5"/>
  <c r="K10" i="5"/>
  <c r="E18" i="5"/>
  <c r="M22" i="5"/>
  <c r="Q16" i="5"/>
  <c r="O13" i="5"/>
  <c r="M29" i="5"/>
  <c r="N22" i="5"/>
  <c r="L13" i="5"/>
  <c r="L18" i="5"/>
  <c r="F17" i="5"/>
  <c r="F22" i="5"/>
  <c r="H37" i="5"/>
  <c r="M20" i="5"/>
  <c r="M15" i="5"/>
  <c r="I48" i="5"/>
  <c r="K25" i="5"/>
  <c r="L24" i="5"/>
  <c r="G29" i="5"/>
  <c r="E21" i="5"/>
  <c r="F14" i="5"/>
  <c r="E26" i="5"/>
  <c r="E47" i="5"/>
  <c r="H45" i="5"/>
  <c r="F47" i="5"/>
  <c r="O10" i="5"/>
  <c r="R13" i="5"/>
  <c r="P27" i="5"/>
  <c r="R16" i="5"/>
  <c r="G12" i="5"/>
  <c r="Q29" i="5"/>
  <c r="E40" i="5"/>
  <c r="M25" i="5"/>
  <c r="F28" i="5"/>
  <c r="N29" i="5"/>
  <c r="F38" i="5"/>
  <c r="F19" i="5"/>
  <c r="N12" i="5"/>
  <c r="R24" i="5"/>
  <c r="Q20" i="5"/>
  <c r="O15" i="5"/>
  <c r="N27" i="5"/>
  <c r="R21" i="5"/>
  <c r="P16" i="5"/>
  <c r="N26" i="5"/>
  <c r="N24" i="5"/>
  <c r="H44" i="5"/>
  <c r="H49" i="5"/>
  <c r="F44" i="5"/>
  <c r="I38" i="5"/>
  <c r="E43" i="5"/>
  <c r="E42" i="5"/>
  <c r="E22" i="5"/>
  <c r="F26" i="5"/>
  <c r="G10" i="5"/>
  <c r="G14" i="5"/>
  <c r="E17" i="5"/>
  <c r="F21" i="5"/>
  <c r="G25" i="5"/>
  <c r="K28" i="5"/>
  <c r="L16" i="5"/>
  <c r="L26" i="5"/>
  <c r="K21" i="5"/>
  <c r="L25" i="5"/>
  <c r="O3" i="30"/>
  <c r="P22" i="5"/>
  <c r="P10" i="5"/>
  <c r="P30" i="5"/>
  <c r="E14" i="5"/>
  <c r="Q18" i="5"/>
  <c r="E46" i="5"/>
  <c r="M12" i="5"/>
  <c r="G15" i="5"/>
  <c r="O26" i="5"/>
  <c r="N17" i="5"/>
  <c r="F37" i="5"/>
  <c r="M14" i="5"/>
  <c r="O27" i="5"/>
  <c r="E48" i="5"/>
  <c r="G11" i="5"/>
  <c r="K22" i="5"/>
  <c r="I39" i="5"/>
  <c r="Q14" i="5"/>
  <c r="G19" i="5"/>
  <c r="F45" i="5"/>
  <c r="H48" i="5"/>
  <c r="H50" i="5"/>
  <c r="O22" i="5"/>
  <c r="R17" i="5"/>
  <c r="P15" i="5"/>
  <c r="K11" i="5"/>
  <c r="F35" i="5"/>
  <c r="E36" i="5"/>
  <c r="F49" i="5"/>
  <c r="M21" i="5"/>
  <c r="F29" i="5"/>
  <c r="N11" i="5"/>
  <c r="Q27" i="5"/>
  <c r="K20" i="5"/>
  <c r="G21" i="5"/>
  <c r="O16" i="5"/>
  <c r="O30" i="5"/>
  <c r="E11" i="5"/>
  <c r="F42" i="5"/>
  <c r="I35" i="5"/>
  <c r="I50" i="5"/>
  <c r="E45" i="5"/>
  <c r="I45" i="5"/>
  <c r="N16" i="5"/>
  <c r="Q30" i="5"/>
  <c r="C45" i="23"/>
  <c r="B4" i="38"/>
  <c r="B1" i="38"/>
  <c r="B3" i="38"/>
  <c r="B2" i="38"/>
  <c r="AG6" i="31"/>
  <c r="C58" i="23"/>
  <c r="C59" i="23"/>
  <c r="C60" i="23"/>
  <c r="C56" i="23"/>
  <c r="C62" i="23"/>
  <c r="C15" i="23"/>
  <c r="C65" i="23"/>
  <c r="C16" i="23"/>
  <c r="C81" i="23"/>
  <c r="C73" i="23"/>
  <c r="C20" i="23"/>
  <c r="C91" i="23"/>
  <c r="C19" i="23"/>
  <c r="C92" i="23"/>
  <c r="C93" i="23"/>
  <c r="C11" i="23"/>
  <c r="C48" i="23"/>
  <c r="C49" i="23"/>
  <c r="C51" i="23"/>
  <c r="C83" i="23"/>
  <c r="C57" i="23"/>
  <c r="C38" i="23"/>
  <c r="C41" i="23"/>
  <c r="C82" i="23"/>
  <c r="C80" i="23"/>
  <c r="C85" i="23"/>
  <c r="C86" i="23"/>
  <c r="C87" i="23"/>
  <c r="C10" i="23"/>
  <c r="C18" i="23"/>
  <c r="C71" i="23"/>
  <c r="C72" i="23"/>
  <c r="C70" i="23"/>
  <c r="C69" i="23"/>
  <c r="C68" i="23"/>
  <c r="C76" i="23"/>
  <c r="C77" i="23"/>
  <c r="C78" i="23"/>
  <c r="C9" i="23"/>
  <c r="C17" i="23"/>
  <c r="C21" i="23"/>
  <c r="C14" i="23"/>
  <c r="F103" i="19"/>
  <c r="F45" i="19"/>
  <c r="C24" i="23"/>
  <c r="C33" i="23"/>
  <c r="C63" i="23"/>
  <c r="C64" i="23"/>
  <c r="C7" i="23"/>
  <c r="C66" i="23"/>
  <c r="C67" i="23"/>
  <c r="C8" i="23"/>
  <c r="C12" i="23"/>
  <c r="C13" i="23"/>
  <c r="C6" i="23"/>
  <c r="B5" i="38"/>
  <c r="F186" i="19"/>
  <c r="C29" i="23"/>
  <c r="F49" i="19"/>
  <c r="F230" i="19"/>
  <c r="F231" i="19"/>
  <c r="F232" i="19"/>
  <c r="F229" i="19"/>
</calcChain>
</file>

<file path=xl/comments1.xml><?xml version="1.0" encoding="utf-8"?>
<comments xmlns="http://schemas.openxmlformats.org/spreadsheetml/2006/main">
  <authors>
    <author>Delia Sulca Jota</author>
  </authors>
  <commentList>
    <comment ref="Q5" authorId="0" shapeId="0">
      <text>
        <r>
          <rPr>
            <b/>
            <sz val="9"/>
            <color indexed="81"/>
            <rFont val="Tahoma"/>
            <family val="2"/>
          </rPr>
          <t>Delia Sulca Jota:</t>
        </r>
        <r>
          <rPr>
            <sz val="9"/>
            <color indexed="81"/>
            <rFont val="Tahoma"/>
            <family val="2"/>
          </rPr>
          <t xml:space="preserve">
Factor de anualidad del Osiptel</t>
        </r>
      </text>
    </comment>
  </commentList>
</comments>
</file>

<file path=xl/sharedStrings.xml><?xml version="1.0" encoding="utf-8"?>
<sst xmlns="http://schemas.openxmlformats.org/spreadsheetml/2006/main" count="1054" uniqueCount="466">
  <si>
    <t>Empresa</t>
  </si>
  <si>
    <t>ID</t>
  </si>
  <si>
    <t>WACC</t>
  </si>
  <si>
    <t>Estadísticas de Recaudación</t>
  </si>
  <si>
    <t>Moneda</t>
  </si>
  <si>
    <t>N°</t>
  </si>
  <si>
    <t>Americatel</t>
  </si>
  <si>
    <t>Componente</t>
  </si>
  <si>
    <t>USD</t>
  </si>
  <si>
    <t>Fecha de Adquisión</t>
  </si>
  <si>
    <t>Marca</t>
  </si>
  <si>
    <t>Tipo de Componente</t>
  </si>
  <si>
    <t>CAPEX</t>
  </si>
  <si>
    <t>Proveedor</t>
  </si>
  <si>
    <t>Servicio</t>
  </si>
  <si>
    <t>Costo Anual</t>
  </si>
  <si>
    <t>Operador</t>
  </si>
  <si>
    <t>BSCS</t>
  </si>
  <si>
    <t>SGA</t>
  </si>
  <si>
    <t>Cobilling</t>
  </si>
  <si>
    <t>SIOP,SIOBI</t>
  </si>
  <si>
    <t>Intraway</t>
  </si>
  <si>
    <t>SIAC POST</t>
  </si>
  <si>
    <t>SISACT</t>
  </si>
  <si>
    <t>Power Center</t>
  </si>
  <si>
    <t>OAC</t>
  </si>
  <si>
    <t>Plataforma Postpago</t>
  </si>
  <si>
    <t>EAI Postpago</t>
  </si>
  <si>
    <t>OPEX</t>
  </si>
  <si>
    <t>Preciario de Recaudación</t>
  </si>
  <si>
    <t>Preciario de Emisión</t>
  </si>
  <si>
    <t>Preciario de Distribución</t>
  </si>
  <si>
    <t>Sub total</t>
  </si>
  <si>
    <t>Mediation</t>
  </si>
  <si>
    <t>PEN</t>
  </si>
  <si>
    <t>Descripción</t>
  </si>
  <si>
    <t>Base de Datos de Costos de Sistemas</t>
  </si>
  <si>
    <t>Documento de Sustento</t>
  </si>
  <si>
    <t>N° de Hojas</t>
  </si>
  <si>
    <t>Porcentaje</t>
  </si>
  <si>
    <t>&gt;= 7</t>
  </si>
  <si>
    <t>Tipo</t>
  </si>
  <si>
    <t>Físico</t>
  </si>
  <si>
    <t>Digital</t>
  </si>
  <si>
    <t>Recibos físicos</t>
  </si>
  <si>
    <t>Recibos digitales</t>
  </si>
  <si>
    <t>Concepto</t>
  </si>
  <si>
    <t>Proforma</t>
  </si>
  <si>
    <t>Impresión</t>
  </si>
  <si>
    <t>Ensobrado</t>
  </si>
  <si>
    <t>Destino</t>
  </si>
  <si>
    <t>Lima</t>
  </si>
  <si>
    <t>Provincia</t>
  </si>
  <si>
    <t>Costos unitarios (USD)</t>
  </si>
  <si>
    <t>Costo unitario (USD)</t>
  </si>
  <si>
    <t>Recaudador</t>
  </si>
  <si>
    <t>Modalidad</t>
  </si>
  <si>
    <t>Comisión (USD)</t>
  </si>
  <si>
    <t>Comisión (%)</t>
  </si>
  <si>
    <t>Número de Recibos</t>
  </si>
  <si>
    <t>Monto Recaudado (USD)</t>
  </si>
  <si>
    <t>Porcentaje (%)</t>
  </si>
  <si>
    <t>Estadísticas de Emisión</t>
  </si>
  <si>
    <t>Estadísticas de Distribución</t>
  </si>
  <si>
    <t>Provincias</t>
  </si>
  <si>
    <t>Distribución</t>
  </si>
  <si>
    <t>Recaudación</t>
  </si>
  <si>
    <t>N° de hojas</t>
  </si>
  <si>
    <t>&gt;=7</t>
  </si>
  <si>
    <t>Número de recibos</t>
  </si>
  <si>
    <t>Total distribuidos</t>
  </si>
  <si>
    <t>Total Recaudados</t>
  </si>
  <si>
    <t>Total emitidos</t>
  </si>
  <si>
    <t>Ventanilla</t>
  </si>
  <si>
    <t>MPAY</t>
  </si>
  <si>
    <t>WESTERN UNION</t>
  </si>
  <si>
    <t>QIWI</t>
  </si>
  <si>
    <t>HERMES</t>
  </si>
  <si>
    <t>CELLPOWER</t>
  </si>
  <si>
    <t>FULLCARGA</t>
  </si>
  <si>
    <t>FASA</t>
  </si>
  <si>
    <t>MASTERCARD</t>
  </si>
  <si>
    <t>CMR</t>
  </si>
  <si>
    <t>VISANET</t>
  </si>
  <si>
    <t>-</t>
  </si>
  <si>
    <t>Agente</t>
  </si>
  <si>
    <t>Débito Automático</t>
  </si>
  <si>
    <t>Internet</t>
  </si>
  <si>
    <t>SCI</t>
  </si>
  <si>
    <t>POS</t>
  </si>
  <si>
    <t>CAVS</t>
  </si>
  <si>
    <t>ATM</t>
  </si>
  <si>
    <t>Viettel</t>
  </si>
  <si>
    <t>Entel</t>
  </si>
  <si>
    <t>America Movil</t>
  </si>
  <si>
    <t>DIGITAL</t>
  </si>
  <si>
    <t>PROVINCIA</t>
  </si>
  <si>
    <t>LIMA</t>
  </si>
  <si>
    <t>DESTINO</t>
  </si>
  <si>
    <t>Emision</t>
  </si>
  <si>
    <t>Hojas</t>
  </si>
  <si>
    <t>Preforma</t>
  </si>
  <si>
    <t>Voz LD F&amp;R</t>
  </si>
  <si>
    <t>Voz Local</t>
  </si>
  <si>
    <t>Voz + Internet + TV</t>
  </si>
  <si>
    <t>Voz + TV</t>
  </si>
  <si>
    <t>Voz + Internet</t>
  </si>
  <si>
    <t>%</t>
  </si>
  <si>
    <t>BCP</t>
  </si>
  <si>
    <t>BIF</t>
  </si>
  <si>
    <t>AÑO DE AJUSTE</t>
  </si>
  <si>
    <t>Comentarios</t>
  </si>
  <si>
    <t>Valor Aprobado ( USD)</t>
  </si>
  <si>
    <t>Valor de Adquisición (1)</t>
  </si>
  <si>
    <t>TOTAL</t>
  </si>
  <si>
    <t>Hojas_x_Recibos</t>
  </si>
  <si>
    <t>Lima F&amp;R</t>
  </si>
  <si>
    <t>Provincia F&amp;R</t>
  </si>
  <si>
    <t>Digital F&amp;R</t>
  </si>
  <si>
    <t>Costo Distribución</t>
  </si>
  <si>
    <t>Overhead</t>
  </si>
  <si>
    <t>Observaciones</t>
  </si>
  <si>
    <t>Porcentaje de Uso por Capacidad</t>
  </si>
  <si>
    <t>Porcentaje de Uso por Proceso</t>
  </si>
  <si>
    <t>Factor de Anualización</t>
  </si>
  <si>
    <t>Factor de Proceso</t>
  </si>
  <si>
    <t>ENTEL</t>
  </si>
  <si>
    <t xml:space="preserve">OCS: </t>
  </si>
  <si>
    <t>Voz</t>
  </si>
  <si>
    <t>Datos</t>
  </si>
  <si>
    <t>SMS</t>
  </si>
  <si>
    <t>Inversion a Set. 2015</t>
  </si>
  <si>
    <t xml:space="preserve">Capex </t>
  </si>
  <si>
    <t xml:space="preserve">Opex </t>
  </si>
  <si>
    <t>Costo de Impresión</t>
  </si>
  <si>
    <t>Costo de Ensobrado</t>
  </si>
  <si>
    <t>Costos de Preforma</t>
  </si>
  <si>
    <t>C_Lima</t>
  </si>
  <si>
    <t>C_Provincia</t>
  </si>
  <si>
    <t>C_Digital</t>
  </si>
  <si>
    <t>Sistemas</t>
  </si>
  <si>
    <t>Racaudación</t>
  </si>
  <si>
    <t>Componente Sistemas</t>
  </si>
  <si>
    <t>Componente Emision</t>
  </si>
  <si>
    <t>Componente Distribución</t>
  </si>
  <si>
    <t>Componente Recaudación</t>
  </si>
  <si>
    <t>Opex de los Recibos</t>
  </si>
  <si>
    <t>Emision Digital</t>
  </si>
  <si>
    <t>Distribucion Digital</t>
  </si>
  <si>
    <t>Componente Atribuible a Servicio</t>
  </si>
  <si>
    <t>Costo Emision Digital</t>
  </si>
  <si>
    <t>Factor de Uso de Capacidad</t>
  </si>
  <si>
    <t>IT</t>
  </si>
  <si>
    <t>Interconnection Billing</t>
  </si>
  <si>
    <t>Data Ware House</t>
  </si>
  <si>
    <t>TOTAL IT</t>
  </si>
  <si>
    <t>CORE</t>
  </si>
  <si>
    <t>Provisioning</t>
  </si>
  <si>
    <t>CONSIDERADO EN EL MODELO FINAL AMÉRICA MÓVIL</t>
  </si>
  <si>
    <t>PROPUESTA INICIAL AMÉRICA MÓVIL</t>
  </si>
  <si>
    <t>Cajeros ATM</t>
  </si>
  <si>
    <t>COSTO ACTUAL F&amp;R 2015</t>
  </si>
  <si>
    <t>O</t>
  </si>
  <si>
    <t>Recibos Recaudados</t>
  </si>
  <si>
    <t>Importe Recaudado</t>
  </si>
  <si>
    <t>Comisión Unitaria</t>
  </si>
  <si>
    <t>Sub Total Costo de Recaudación</t>
  </si>
  <si>
    <t>Débito</t>
  </si>
  <si>
    <t>Crédito</t>
  </si>
  <si>
    <t>Todos</t>
  </si>
  <si>
    <t>Centros de Cobro</t>
  </si>
  <si>
    <t>Franquicias</t>
  </si>
  <si>
    <t>Multicentros</t>
  </si>
  <si>
    <t>L&amp;M Business</t>
  </si>
  <si>
    <t>Visanet</t>
  </si>
  <si>
    <t>Mastercard</t>
  </si>
  <si>
    <t>Diners</t>
  </si>
  <si>
    <t>Cencosud</t>
  </si>
  <si>
    <t>Luz del Sur</t>
  </si>
  <si>
    <t>Edelnor</t>
  </si>
  <si>
    <t>Hidrandina</t>
  </si>
  <si>
    <t>Western Union</t>
  </si>
  <si>
    <t>Fullcarga</t>
  </si>
  <si>
    <t>Contacto Satelital</t>
  </si>
  <si>
    <t>Lideres en Servicio</t>
  </si>
  <si>
    <t>Prosegur</t>
  </si>
  <si>
    <t>Interbank</t>
  </si>
  <si>
    <t>Scotiabank</t>
  </si>
  <si>
    <t>BBVA</t>
  </si>
  <si>
    <t>BN</t>
  </si>
  <si>
    <t>Financiero</t>
  </si>
  <si>
    <t>Falabella</t>
  </si>
  <si>
    <t>Caja Trujillo</t>
  </si>
  <si>
    <t>Caja Arequipa</t>
  </si>
  <si>
    <t>AMEX</t>
  </si>
  <si>
    <t>Todos los Canales</t>
  </si>
  <si>
    <t>Todos los canales</t>
  </si>
  <si>
    <t>Agencias</t>
  </si>
  <si>
    <t>Bancos</t>
  </si>
  <si>
    <t>DINERS</t>
  </si>
  <si>
    <t>JETPERU</t>
  </si>
  <si>
    <t>1. PROVEEDORES DE RECAUDACIÓN</t>
  </si>
  <si>
    <t>Consignar los proveedores de servicio de recaudación y las condiciones contractuales del servicio. (Sustentar los cuadros adjuntando los respectivos contratos)</t>
  </si>
  <si>
    <t>PROVEEDORES DE RECAUDACIÓN</t>
  </si>
  <si>
    <t>CODIGO</t>
  </si>
  <si>
    <t>EMPRESA</t>
  </si>
  <si>
    <t>TIPO DE ENTIDAD</t>
  </si>
  <si>
    <t>DENOMINACIÓN DEL SERVICIO</t>
  </si>
  <si>
    <t>CONDICIONES CONTRACTUALES
(Modalidad de recaudación)</t>
  </si>
  <si>
    <t>CONDICIONES CONTRACTUALES
(Costo de Recaudación por Recibo Cobrado)</t>
  </si>
  <si>
    <t>OBSERVACIONES</t>
  </si>
  <si>
    <t>Todos Los Canales</t>
  </si>
  <si>
    <t>Red Propia</t>
  </si>
  <si>
    <t>Tarjeta</t>
  </si>
  <si>
    <t>%. Por Recibo</t>
  </si>
  <si>
    <t>Banco</t>
  </si>
  <si>
    <t>S/. Por Recibo</t>
  </si>
  <si>
    <t>Cajas</t>
  </si>
  <si>
    <t>Establecimientos</t>
  </si>
  <si>
    <t>Farmacias</t>
  </si>
  <si>
    <t>Req. Informacion</t>
  </si>
  <si>
    <t>S/. 0.00</t>
  </si>
  <si>
    <t>S/. 1.00</t>
  </si>
  <si>
    <t>Según Contrato</t>
  </si>
  <si>
    <t>S/. 2.00</t>
  </si>
  <si>
    <t>Información no remitida por el Operador</t>
  </si>
  <si>
    <t>Se asume valores promedios de las comisiones de los operadores que si presentaron informacion</t>
  </si>
  <si>
    <t>Externa</t>
  </si>
  <si>
    <t>Recaudación de recibos</t>
  </si>
  <si>
    <t>Financiera</t>
  </si>
  <si>
    <t>Supermercados</t>
  </si>
  <si>
    <t>POS de recaudación</t>
  </si>
  <si>
    <t>Empresa de servicios</t>
  </si>
  <si>
    <t>Grandes plataformas</t>
  </si>
  <si>
    <t xml:space="preserve">Mastercard </t>
  </si>
  <si>
    <t>Propia</t>
  </si>
  <si>
    <t>Cobranza de facturas</t>
  </si>
  <si>
    <t>Integrador</t>
  </si>
  <si>
    <t>Disashop</t>
  </si>
  <si>
    <t>Nota:</t>
  </si>
  <si>
    <t xml:space="preserve">- Incluye ventanilla, web y agente; debido a que operacionalmente la comisión es la misma.
</t>
  </si>
  <si>
    <t>RED FIJA</t>
  </si>
  <si>
    <t>RED MOVIL</t>
  </si>
  <si>
    <t>NOVA: Servicios Comerciales</t>
  </si>
  <si>
    <t>Costo Medio de Sistemas</t>
  </si>
  <si>
    <t>Costo Medio de Emisión</t>
  </si>
  <si>
    <t>Costo Medio de Distribución</t>
  </si>
  <si>
    <t>Costo Medio de Recaudación</t>
  </si>
  <si>
    <t>Recibos Emitidos</t>
  </si>
  <si>
    <t>Componente O&amp;M</t>
  </si>
  <si>
    <t>Costo Medio de O&amp;M</t>
  </si>
  <si>
    <t>Over Head (3.13%)</t>
  </si>
  <si>
    <t>Otras Actividades (2.01%)</t>
  </si>
  <si>
    <t>Páginas por Servico Atribuible</t>
  </si>
  <si>
    <t>Emitidos Otros Operadores</t>
  </si>
  <si>
    <t>Recaudados Otros Operadores</t>
  </si>
  <si>
    <t>Recibos Digitales</t>
  </si>
  <si>
    <t>Proporcion Recaudado/Emitido</t>
  </si>
  <si>
    <t>C_Lima_FyR</t>
  </si>
  <si>
    <t>C_Provincia_FyR</t>
  </si>
  <si>
    <t>C_Digital_FyR</t>
  </si>
  <si>
    <t>Prom Hojas/Recibo</t>
  </si>
  <si>
    <t>Prom Pags/Recibo</t>
  </si>
  <si>
    <t>Promedio Pags/Recibo</t>
  </si>
  <si>
    <t>Voz LD propio</t>
  </si>
  <si>
    <t>Promedio de Servicios en Competencia</t>
  </si>
  <si>
    <t>SERVICIOS EN COMPETENCIA</t>
  </si>
  <si>
    <t>Hojas / Recibos</t>
  </si>
  <si>
    <t>Paginas / Recibos</t>
  </si>
  <si>
    <t>RED Movil</t>
  </si>
  <si>
    <t>RESUMEN</t>
  </si>
  <si>
    <t>% Recibos de Red Fija</t>
  </si>
  <si>
    <t>% Recibos de Red Movil</t>
  </si>
  <si>
    <t>COSTOS DE EMISION - TOTAL RECIBOS</t>
  </si>
  <si>
    <t>COSTOS DE EMISION - TOTAL RECIBOS FyR</t>
  </si>
  <si>
    <t>Operadores en Competencia</t>
  </si>
  <si>
    <t>Servicios Promedio por Recibo Atribuibles</t>
  </si>
  <si>
    <t>Hojas por Servicio Atribuible</t>
  </si>
  <si>
    <t>Porcentaje Recibos Digitales</t>
  </si>
  <si>
    <t>Porcentaje Recibos Impresos</t>
  </si>
  <si>
    <t>Parámetros</t>
  </si>
  <si>
    <t>Servicio Promedio en competencia/Recibo</t>
  </si>
  <si>
    <t>Servicios Promedio/Recibo</t>
  </si>
  <si>
    <t>Paginas/Recibo</t>
  </si>
  <si>
    <t>Paginas Atribuible por Servicio Otro Operador</t>
  </si>
  <si>
    <t>Paginas/Servicio Atribuible</t>
  </si>
  <si>
    <t>Proporcion Demanda Recibos FyR</t>
  </si>
  <si>
    <t>Promedio Servicios Propios/Recibo</t>
  </si>
  <si>
    <t>Promedio de Servicios en Competencia/Recibo</t>
  </si>
  <si>
    <t>Promedio de Operadores en Competencia/Recibo</t>
  </si>
  <si>
    <t>Recibos Impresos</t>
  </si>
  <si>
    <t>Período en Meses</t>
  </si>
  <si>
    <t>Factor de Monto Recaudado en Recibos</t>
  </si>
  <si>
    <t>Recibo Digital</t>
  </si>
  <si>
    <t>Recibos Físicos Distribuidos</t>
  </si>
  <si>
    <t>Recibos Digitales Otros Operadores</t>
  </si>
  <si>
    <t>Costo Distribución con Otros Operadores</t>
  </si>
  <si>
    <t>Componente Emisión</t>
  </si>
  <si>
    <t>Costo Medio del Recibo que incluye servicios de terceros</t>
  </si>
  <si>
    <t>Promedio Hojas/Recibo</t>
  </si>
  <si>
    <t>Porcentaje de Recaudación</t>
  </si>
  <si>
    <t>%Recaudacion</t>
  </si>
  <si>
    <t>De los Recibos</t>
  </si>
  <si>
    <t>De los Servicios</t>
  </si>
  <si>
    <t>TdP</t>
  </si>
  <si>
    <t>Promedio Hojas/Recibo de Otros FyR</t>
  </si>
  <si>
    <t>Hojas/Recibo Otros FyR</t>
  </si>
  <si>
    <t>Factor Over Head</t>
  </si>
  <si>
    <t>Otras Actividades (ABC)</t>
  </si>
  <si>
    <t>Promedio</t>
  </si>
  <si>
    <t>Promedio Mensual Impresos</t>
  </si>
  <si>
    <t>De la Demanda de Recibos Totales del Operador</t>
  </si>
  <si>
    <t>Recibos Impresos a Distribuir Otros Operadores</t>
  </si>
  <si>
    <t>Voz Local + SMS + Datos</t>
  </si>
  <si>
    <t>Demanda de Servicios Propios por Recibo del Operador</t>
  </si>
  <si>
    <t>Promedio de Servicios Propios por Recibo</t>
  </si>
  <si>
    <t>Número de Servicios por Recibo</t>
  </si>
  <si>
    <t>RED MÓVIL</t>
  </si>
  <si>
    <t>PROCEDIMIENTO FACTURACION Y RECAUDACIÓN</t>
  </si>
  <si>
    <t>EMPRESAS</t>
  </si>
  <si>
    <t>Promedio Mensual de Recibos Impresos Emitidos</t>
  </si>
  <si>
    <t>% Recibos Digitales de la Empresa</t>
  </si>
  <si>
    <t>% Recibos Recaudados de la Empresa</t>
  </si>
  <si>
    <t>Demanda de Facturación y Recaudación (Otros Operadores)</t>
  </si>
  <si>
    <t>% Demanda de Recibos de Facturación y Recaudación</t>
  </si>
  <si>
    <t>% Demanda de Recibos Impresos de Facturación y Recaudación</t>
  </si>
  <si>
    <t>% Recibos Digitales de Facturación y Recaudación</t>
  </si>
  <si>
    <t>Parámetros y Drivers del Modelo</t>
  </si>
  <si>
    <t>Recibos atribuibles al cargo (Emitidos, distribuidos y recaudados)</t>
  </si>
  <si>
    <t>DEMANDA DE SERVICIOS POR RECIBO</t>
  </si>
  <si>
    <t>VOLUMEN DE EMISION MENSUAL DE RECIBOS</t>
  </si>
  <si>
    <t>ESTADÍSTICA DE DEMANDA DE HOJAS o PÁGINAS POR RECIBO</t>
  </si>
  <si>
    <t>DISTRIBUCIÓN PORCENTUAL DE DEMANDA DE HOJAS POR RECIBO</t>
  </si>
  <si>
    <t>DISTRIBUCION PORCENTUAL E HOJAS DE RECIBOS PROPIOS</t>
  </si>
  <si>
    <t>DEMANDA DE EMISION DE RECIBOS FÍSICOS</t>
  </si>
  <si>
    <t>DEMANDA DE EMISIÓN DE RECIBOS PROPIOS</t>
  </si>
  <si>
    <t>DEMANDA DE EMISIÓN DE RECIBOS CON SERVICIOS DE OTROS OPERADORES</t>
  </si>
  <si>
    <t>EMISIÓN DE RECIBOS</t>
  </si>
  <si>
    <t>COSTOS DE EMISION DE RECIBOS FÍSICOS</t>
  </si>
  <si>
    <t>COSTOS EMISIÓN</t>
  </si>
  <si>
    <t>DEMANDA DE DISTRIBUCION DE RECIBOS</t>
  </si>
  <si>
    <t>COSTOS DE DISTRIBUCIÓN DE RECIBOS</t>
  </si>
  <si>
    <t>Demanda de Distribución de Recibos de FyR</t>
  </si>
  <si>
    <t>Distribucón de Recibos General</t>
  </si>
  <si>
    <t>Distribución Porcentual de Recibos</t>
  </si>
  <si>
    <t>COSTOS</t>
  </si>
  <si>
    <t>DEMANDA DISTRIBUCIÓN</t>
  </si>
  <si>
    <t>Recibos Recaudados F&amp;R</t>
  </si>
  <si>
    <t>Comisión Promedio por Recibo Recaudado</t>
  </si>
  <si>
    <t>PARAMETROS CONSIDERADOS EN EL MODELO</t>
  </si>
  <si>
    <t>PARAMETROS</t>
  </si>
  <si>
    <t>DISTRIBUCIÓN</t>
  </si>
  <si>
    <t>% Distribución de Recibos Fisicos en Provincia</t>
  </si>
  <si>
    <t>% Distribución de Recibos Fisicos en Lima</t>
  </si>
  <si>
    <t>% Distribución de Recibos Digitales Totales</t>
  </si>
  <si>
    <t>TIPO DE CAMBIO</t>
  </si>
  <si>
    <t>VIDA ÚTIL DE LOS ACTIVOS</t>
  </si>
  <si>
    <t>FACTOR DE ANUALIZACIÓ</t>
  </si>
  <si>
    <t>PARÁMETROS DE LA EMPRESA</t>
  </si>
  <si>
    <t>TOTAL RECIBOS DIGITALES</t>
  </si>
  <si>
    <t>PARÁMETROS GENERALES DE LOS RECIBOS REMITIDO POR LA EMPRESA</t>
  </si>
  <si>
    <t>TIPO DE PRESENTACIÓN</t>
  </si>
  <si>
    <t>TIPO DE DESTINATARIO</t>
  </si>
  <si>
    <t>FACTOR DE MONTO DE RECAUDACIÓN</t>
  </si>
  <si>
    <t>PORCENTAJE DE AJUSTE ANNUAL</t>
  </si>
  <si>
    <t>OPERADOR</t>
  </si>
  <si>
    <t>MODALIDAD DE RECAUDACIÓN</t>
  </si>
  <si>
    <t>EMPRESA DE TELECOMUNICACIONES</t>
  </si>
  <si>
    <t>PROCEDIMIENTO DE REVISIÓN DEL CARGO TOPE DE INTERCONEXIÓN DE FACTURACIÓN Y RECAUDACIÓN</t>
  </si>
  <si>
    <t>Equipo 1</t>
  </si>
  <si>
    <t>Sistema 1</t>
  </si>
  <si>
    <t>Equipo 2</t>
  </si>
  <si>
    <t>Equipo 3</t>
  </si>
  <si>
    <t>Equipo 4</t>
  </si>
  <si>
    <t>Funcion Facturacion</t>
  </si>
  <si>
    <t>Fabricante 1</t>
  </si>
  <si>
    <t>TOTAL CAPEX DE SISTEMAS</t>
  </si>
  <si>
    <t>TOTAL OPEX DE SISTEMAS</t>
  </si>
  <si>
    <t>Proveedor 1</t>
  </si>
  <si>
    <t>Proveedor 2</t>
  </si>
  <si>
    <t>Soporte de Hardware y Software Sistemas 1</t>
  </si>
  <si>
    <t>Soporte de Hardware y Software Sistemas 2</t>
  </si>
  <si>
    <t>Total Recibos Recaudados</t>
  </si>
  <si>
    <t>Entidad 1</t>
  </si>
  <si>
    <t>Entidad 2</t>
  </si>
  <si>
    <t>Entidad 3</t>
  </si>
  <si>
    <t>Entidad 4</t>
  </si>
  <si>
    <t>Entidad 5</t>
  </si>
  <si>
    <t>Entidad 6</t>
  </si>
  <si>
    <t>Entidad 7</t>
  </si>
  <si>
    <t>Entidad 8</t>
  </si>
  <si>
    <t>Entidad 9</t>
  </si>
  <si>
    <t>Tarjetas 1</t>
  </si>
  <si>
    <t>Tarjetas 2</t>
  </si>
  <si>
    <t>Tarjetas 3</t>
  </si>
  <si>
    <t>Recibos FyR a Imprimir</t>
  </si>
  <si>
    <t>Recibos FyR Digitales</t>
  </si>
  <si>
    <t>RECAUDACIÓN</t>
  </si>
  <si>
    <t>Comisión Promedio</t>
  </si>
  <si>
    <t xml:space="preserve">Recaudación </t>
  </si>
  <si>
    <t>PARA SER COMPLETADA CON LA INFORMACION DE LA PROPIA EMPRESA</t>
  </si>
  <si>
    <t>Valor Presente</t>
  </si>
  <si>
    <t>Anualización</t>
  </si>
  <si>
    <t>Tipo de Cambio
BCR
Promedio a la fecha de adquisición</t>
  </si>
  <si>
    <t>Capex Atribuido a la facilidad</t>
  </si>
  <si>
    <t>…</t>
  </si>
  <si>
    <t>PRECIARIO</t>
  </si>
  <si>
    <t>CALCULO DE LA COMISIÓN UNITARIA DE RECAUDACIÓN</t>
  </si>
  <si>
    <t>Total Recibos FyR Emitidos</t>
  </si>
  <si>
    <t>Total Recibos Propios Emitidos</t>
  </si>
  <si>
    <t>estadisticas</t>
  </si>
  <si>
    <t xml:space="preserve">Recibos FyR a Imprimir </t>
  </si>
  <si>
    <t>Total Recibos a imprimir</t>
  </si>
  <si>
    <t>Costo de Recaudacion por Recibos FyR</t>
  </si>
  <si>
    <t xml:space="preserve">Costo de Recaudacion por Total de Recibos </t>
  </si>
  <si>
    <t>COSTOS DE RECAUDACION</t>
  </si>
  <si>
    <t>Recibo</t>
  </si>
  <si>
    <t>Monto Recaudado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</si>
  <si>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</si>
  <si>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</si>
  <si>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</si>
  <si>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</si>
  <si>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</si>
  <si>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</si>
  <si>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</si>
  <si>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</si>
  <si>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</si>
  <si>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</si>
  <si>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</si>
  <si>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</si>
  <si>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Comision</t>
  </si>
  <si>
    <t>Total de Recibos  Digitales Propios</t>
  </si>
  <si>
    <t>Total de Recibos Digitales FyR</t>
  </si>
  <si>
    <t>Total de Recibos Propios de Lima</t>
  </si>
  <si>
    <t>Total de Recibos FyR de Lima</t>
  </si>
  <si>
    <t>Total de Recibos Propios de Provincia</t>
  </si>
  <si>
    <t>Total de Recibos FyR de Provincia</t>
  </si>
  <si>
    <t>TOTAL RECIBOS DE LIMA</t>
  </si>
  <si>
    <t>TOTAL RECIBOS DE PROVINCIA</t>
  </si>
  <si>
    <t>% Recibos FyR de Lima</t>
  </si>
  <si>
    <t>% Recibos FyR de Provincia</t>
  </si>
  <si>
    <t>% Recibos FyR Digitales</t>
  </si>
  <si>
    <t>% Recibos Físicos</t>
  </si>
  <si>
    <t>% Recibos Digitales</t>
  </si>
  <si>
    <t>% Recibos de Lima</t>
  </si>
  <si>
    <t>% Recibos de Provincia</t>
  </si>
  <si>
    <t>RESUMEN DE PARAMETROS GENERALES</t>
  </si>
  <si>
    <t>RESUMEN DEL PROCESAMIENTO DE INFORMACIÓN DETALLADA</t>
  </si>
  <si>
    <t>Total Recibos FyR Recaudados</t>
  </si>
  <si>
    <t>FACTOR FyR: Proporcion Demanda Recibos FyR</t>
  </si>
  <si>
    <t>Servicios Promedio por Recibo FyR</t>
  </si>
  <si>
    <t>Recibos FyR Fijos</t>
  </si>
  <si>
    <t>Recibos FyR Móvil</t>
  </si>
  <si>
    <t>Total de Recibos Recaudados</t>
  </si>
  <si>
    <t>Total de Recibos Fisicos</t>
  </si>
  <si>
    <t>Total de Recibos Digitales</t>
  </si>
  <si>
    <t>Total de Recibos Propios Físicos</t>
  </si>
  <si>
    <t>Total de Recibos Fisicos FyR</t>
  </si>
  <si>
    <t>TOTAL RECIBOS FÍSICOS</t>
  </si>
  <si>
    <t>DEMANDA TOTAL DE RECIBOS</t>
  </si>
  <si>
    <t>DEMANDA TOTAL DE RECIBOS FyR</t>
  </si>
  <si>
    <t>NOTA 1: ESTE ARCHIVO PROCURA MOSTRAR EL PROCEDIMIENTO DE CÁLCULO.</t>
  </si>
  <si>
    <t>NOTA 2: LAS CELDAS EN COLOR AMARILLO CORRESPONDEN A INFORMACION CONFIDENCIAL.</t>
  </si>
  <si>
    <t>Octubre 2016</t>
  </si>
  <si>
    <t>Operador X</t>
  </si>
  <si>
    <t xml:space="preserve">% Recibos FyR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</si>
</sst>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.&quot;* #,##0.00_-;\-&quot;S/.&quot;* #,##0.00_-;_-&quot;S/.&quot;* &quot;-&quot;??_-;_-@_-"/>
    <numFmt numFmtId="165" formatCode="_-* #,##0.00_-;\-* #,##0.00_-;_-* &quot;-&quot;??_-;_-@_-"/>
    <numFmt numFmtId="166" formatCode="_ * #,##0.000_ ;_ * \-#,##0.000_ ;_ * &quot;-&quot;??_ ;_ @_ "/>
    <numFmt numFmtId="167" formatCode="0.0000"/>
    <numFmt numFmtId="168" formatCode="_ * #,##0_ ;_ * \-#,##0_ ;_ * &quot;-&quot;??_ ;_ @_ "/>
    <numFmt numFmtId="169" formatCode="0.0%"/>
    <numFmt numFmtId="170" formatCode="_ * #,##0.0000_ ;_ * \-#,##0.0000_ ;_ * &quot;-&quot;??_ ;_ @_ "/>
    <numFmt numFmtId="171" formatCode="#,##0.0000"/>
    <numFmt numFmtId="172" formatCode="_-* #,##0.0000_-;\-* #,##0.0000_-;_-* &quot;-&quot;??_-;_-@_-"/>
    <numFmt numFmtId="173" formatCode="_-[$$-409]* #,##0.0000_ ;_-[$$-409]* \-#,##0.0000\ ;_-[$$-409]* &quot;-&quot;??_ ;_-@_ "/>
    <numFmt numFmtId="174" formatCode="_-[$$-409]* #,##0_ ;_-[$$-409]* \-#,##0\ ;_-[$$-409]* &quot;-&quot;??_ ;_-@_ "/>
    <numFmt numFmtId="175" formatCode="_-[$$-409]* #,##0_ ;_-[$$-409]* \-#,##0\ ;_-[$$-409]* &quot;-&quot;_ ;_-@_ "/>
    <numFmt numFmtId="176" formatCode="[$$-409]#,##0"/>
    <numFmt numFmtId="177" formatCode="[$$-409]#,##0.00"/>
    <numFmt numFmtId="178" formatCode="[$$-409]#,##0_);[Red]\([$$-409]#,##0\)"/>
    <numFmt numFmtId="179" formatCode="[$$-409]#,##0.00;[Red][$$-409]#,##0.00"/>
    <numFmt numFmtId="180" formatCode="_-* #,##0_-;\-* #,##0_-;_-* &quot;-&quot;??_-;_-@_-"/>
    <numFmt numFmtId="181" formatCode="[$S/.-280A]\ #,##0.00"/>
    <numFmt numFmtId="182" formatCode="&quot;S/.&quot;\ #,##0.000"/>
    <numFmt numFmtId="183" formatCode="&quot;S/.&quot;\ #,##0.00"/>
    <numFmt numFmtId="184" formatCode="_-[$$-540A]* #,##0_ ;_-[$$-540A]* \-#,##0\ ;_-[$$-540A]* &quot;-&quot;??_ ;_-@_ "/>
    <numFmt numFmtId="185" formatCode="_-[$$-540A]* #,##0.0000_ ;_-[$$-540A]* \-#,##0.0000\ ;_-[$$-540A]* &quot;-&quot;??_ ;_-@_ "/>
    <numFmt numFmtId="186" formatCode="_ &quot;S/.&quot;\ * #,##0.0000_ ;_ &quot;S/.&quot;\ * \-#,##0.0000_ ;_ &quot;S/.&quot;\ * &quot;-&quot;??_ ;_ @_ "/>
    <numFmt numFmtId="187" formatCode="0.000%"/>
    <numFmt numFmtId="188" formatCode="0.00000%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i/>
      <sz val="11"/>
      <color rgb="FF00206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TheSansCorrespondence"/>
      <family val="2"/>
    </font>
    <font>
      <b/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i/>
      <sz val="10"/>
      <color rgb="FFFF0000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sz val="14"/>
      <color theme="1"/>
      <name val="Arial"/>
      <family val="2"/>
    </font>
    <font>
      <b/>
      <sz val="20"/>
      <color theme="0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2"/>
      <color theme="8" tint="-0.249977111117893"/>
      <name val="Calibri"/>
      <family val="2"/>
      <scheme val="minor"/>
    </font>
    <font>
      <sz val="20"/>
      <color theme="0"/>
      <name val="Calibri"/>
      <family val="2"/>
      <scheme val="minor"/>
    </font>
    <font>
      <b/>
      <i/>
      <sz val="14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rgb="FFFF33CC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8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rgb="FFBFBFB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8" tint="-0.249977111117893"/>
      </right>
      <top style="medium">
        <color auto="1"/>
      </top>
      <bottom/>
      <diagonal/>
    </border>
    <border>
      <left style="medium">
        <color auto="1"/>
      </left>
      <right style="medium">
        <color theme="8" tint="-0.249977111117893"/>
      </right>
      <top/>
      <bottom/>
      <diagonal/>
    </border>
    <border>
      <left style="medium">
        <color auto="1"/>
      </left>
      <right style="medium">
        <color theme="8" tint="-0.249977111117893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theme="8" tint="-0.249977111117893"/>
      </bottom>
      <diagonal/>
    </border>
    <border>
      <left/>
      <right style="medium">
        <color auto="1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auto="1"/>
      </right>
      <top style="thin">
        <color theme="8" tint="-0.249977111117893"/>
      </top>
      <bottom/>
      <diagonal/>
    </border>
    <border>
      <left style="medium">
        <color theme="8" tint="-0.249977111117893"/>
      </left>
      <right/>
      <top style="medium">
        <color auto="1"/>
      </top>
      <bottom/>
      <diagonal/>
    </border>
    <border>
      <left style="medium">
        <color theme="8" tint="-0.249977111117893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theme="8" tint="-0.249977111117893"/>
      </left>
      <right/>
      <top/>
      <bottom/>
      <diagonal/>
    </border>
    <border>
      <left style="medium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medium">
        <color auto="1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/>
      <diagonal/>
    </border>
    <border>
      <left style="thin">
        <color auto="1"/>
      </left>
      <right style="thin">
        <color auto="1"/>
      </right>
      <top style="medium">
        <color theme="8" tint="-0.249977111117893"/>
      </top>
      <bottom/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14" borderId="0"/>
    <xf numFmtId="165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0" fontId="0" fillId="0" borderId="0" xfId="0" applyAlignment="1">
      <alignment vertical="center" wrapText="1"/>
    </xf>
    <xf numFmtId="9" fontId="0" fillId="2" borderId="2" xfId="2" applyNumberFormat="1" applyFont="1" applyFill="1" applyBorder="1" applyAlignment="1">
      <alignment horizontal="center" vertical="center"/>
    </xf>
    <xf numFmtId="14" fontId="0" fillId="2" borderId="2" xfId="2" applyNumberFormat="1" applyFont="1" applyFill="1" applyBorder="1" applyAlignment="1">
      <alignment horizontal="center" vertical="center"/>
    </xf>
    <xf numFmtId="9" fontId="0" fillId="5" borderId="2" xfId="2" applyNumberFormat="1" applyFont="1" applyFill="1" applyBorder="1" applyAlignment="1">
      <alignment horizontal="center" vertical="center"/>
    </xf>
    <xf numFmtId="14" fontId="0" fillId="5" borderId="2" xfId="2" applyNumberFormat="1" applyFont="1" applyFill="1" applyBorder="1" applyAlignment="1">
      <alignment horizontal="center" vertical="center"/>
    </xf>
    <xf numFmtId="43" fontId="0" fillId="5" borderId="2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0" borderId="0" xfId="0" applyFont="1"/>
    <xf numFmtId="0" fontId="7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0" fontId="9" fillId="2" borderId="0" xfId="0" applyFont="1" applyFill="1"/>
    <xf numFmtId="10" fontId="0" fillId="2" borderId="0" xfId="2" applyNumberFormat="1" applyFont="1" applyFill="1" applyAlignment="1">
      <alignment horizontal="center"/>
    </xf>
    <xf numFmtId="0" fontId="0" fillId="5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0" borderId="0" xfId="0" applyFont="1"/>
    <xf numFmtId="43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43" fontId="10" fillId="2" borderId="2" xfId="0" applyNumberFormat="1" applyFont="1" applyFill="1" applyBorder="1" applyAlignment="1">
      <alignment horizontal="center"/>
    </xf>
    <xf numFmtId="43" fontId="11" fillId="2" borderId="2" xfId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/>
    <xf numFmtId="0" fontId="0" fillId="2" borderId="2" xfId="0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0" fillId="2" borderId="2" xfId="0" applyFill="1" applyBorder="1" applyAlignment="1"/>
    <xf numFmtId="0" fontId="0" fillId="4" borderId="0" xfId="0" applyFill="1"/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0" xfId="0" applyFont="1" applyFill="1"/>
    <xf numFmtId="0" fontId="13" fillId="2" borderId="0" xfId="0" applyFont="1" applyFill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2" fillId="3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167" fontId="0" fillId="0" borderId="14" xfId="0" applyNumberFormat="1" applyBorder="1"/>
    <xf numFmtId="0" fontId="15" fillId="0" borderId="0" xfId="0" applyFont="1" applyAlignment="1">
      <alignment horizontal="right"/>
    </xf>
    <xf numFmtId="168" fontId="0" fillId="0" borderId="0" xfId="1" applyNumberFormat="1" applyFont="1"/>
    <xf numFmtId="0" fontId="17" fillId="0" borderId="0" xfId="0" applyFont="1"/>
    <xf numFmtId="0" fontId="0" fillId="0" borderId="0" xfId="0" applyBorder="1"/>
    <xf numFmtId="0" fontId="0" fillId="9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right" vertical="center"/>
    </xf>
    <xf numFmtId="43" fontId="0" fillId="0" borderId="0" xfId="1" applyFont="1" applyAlignment="1">
      <alignment horizontal="center"/>
    </xf>
    <xf numFmtId="0" fontId="6" fillId="10" borderId="0" xfId="0" applyFont="1" applyFill="1" applyAlignment="1">
      <alignment horizontal="center"/>
    </xf>
    <xf numFmtId="0" fontId="22" fillId="2" borderId="0" xfId="0" applyFont="1" applyFill="1"/>
    <xf numFmtId="0" fontId="15" fillId="0" borderId="0" xfId="0" applyFont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0" fillId="2" borderId="0" xfId="0" applyFill="1" applyAlignment="1">
      <alignment horizontal="center"/>
    </xf>
    <xf numFmtId="0" fontId="28" fillId="0" borderId="0" xfId="0" applyFont="1"/>
    <xf numFmtId="0" fontId="2" fillId="0" borderId="0" xfId="0" applyFont="1"/>
    <xf numFmtId="0" fontId="27" fillId="0" borderId="0" xfId="0" applyFont="1"/>
    <xf numFmtId="0" fontId="22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0" fillId="0" borderId="0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175" fontId="8" fillId="0" borderId="0" xfId="8" applyNumberFormat="1" applyFont="1" applyAlignment="1">
      <alignment wrapText="1"/>
    </xf>
    <xf numFmtId="175" fontId="8" fillId="0" borderId="8" xfId="8" applyNumberFormat="1" applyFont="1" applyBorder="1" applyAlignment="1">
      <alignment wrapText="1"/>
    </xf>
    <xf numFmtId="175" fontId="8" fillId="0" borderId="0" xfId="8" applyNumberFormat="1" applyFont="1" applyBorder="1" applyAlignment="1">
      <alignment wrapText="1"/>
    </xf>
    <xf numFmtId="175" fontId="8" fillId="0" borderId="12" xfId="8" applyNumberFormat="1" applyFont="1" applyBorder="1" applyAlignment="1">
      <alignment wrapText="1"/>
    </xf>
    <xf numFmtId="0" fontId="8" fillId="11" borderId="0" xfId="0" applyFont="1" applyFill="1" applyBorder="1" applyAlignment="1">
      <alignment horizontal="left" wrapText="1" indent="1"/>
    </xf>
    <xf numFmtId="0" fontId="8" fillId="11" borderId="8" xfId="0" applyFont="1" applyFill="1" applyBorder="1" applyAlignment="1">
      <alignment horizontal="center" wrapText="1"/>
    </xf>
    <xf numFmtId="0" fontId="8" fillId="11" borderId="0" xfId="0" applyFont="1" applyFill="1" applyAlignment="1">
      <alignment horizontal="center" wrapText="1"/>
    </xf>
    <xf numFmtId="0" fontId="30" fillId="9" borderId="0" xfId="0" applyFont="1" applyFill="1" applyBorder="1" applyAlignment="1">
      <alignment horizontal="left" wrapText="1" indent="1"/>
    </xf>
    <xf numFmtId="0" fontId="8" fillId="9" borderId="8" xfId="0" applyFont="1" applyFill="1" applyBorder="1" applyAlignment="1">
      <alignment horizontal="center" wrapText="1"/>
    </xf>
    <xf numFmtId="175" fontId="8" fillId="9" borderId="0" xfId="8" applyNumberFormat="1" applyFont="1" applyFill="1" applyAlignment="1">
      <alignment wrapText="1"/>
    </xf>
    <xf numFmtId="0" fontId="30" fillId="12" borderId="0" xfId="0" applyFont="1" applyFill="1"/>
    <xf numFmtId="0" fontId="8" fillId="12" borderId="0" xfId="0" applyFont="1" applyFill="1"/>
    <xf numFmtId="0" fontId="8" fillId="12" borderId="0" xfId="0" applyFont="1" applyFill="1" applyAlignment="1">
      <alignment horizontal="center"/>
    </xf>
    <xf numFmtId="0" fontId="30" fillId="12" borderId="0" xfId="0" applyFont="1" applyFill="1" applyAlignment="1">
      <alignment horizontal="center"/>
    </xf>
    <xf numFmtId="178" fontId="8" fillId="12" borderId="0" xfId="0" applyNumberFormat="1" applyFont="1" applyFill="1"/>
    <xf numFmtId="176" fontId="30" fillId="12" borderId="0" xfId="0" applyNumberFormat="1" applyFont="1" applyFill="1"/>
    <xf numFmtId="0" fontId="31" fillId="12" borderId="0" xfId="0" applyFont="1" applyFill="1"/>
    <xf numFmtId="0" fontId="32" fillId="12" borderId="0" xfId="0" applyFont="1" applyFill="1"/>
    <xf numFmtId="0" fontId="32" fillId="12" borderId="0" xfId="0" applyFont="1" applyFill="1" applyBorder="1" applyAlignment="1">
      <alignment horizontal="left" wrapText="1" indent="1"/>
    </xf>
    <xf numFmtId="178" fontId="32" fillId="12" borderId="0" xfId="0" applyNumberFormat="1" applyFont="1" applyFill="1"/>
    <xf numFmtId="176" fontId="31" fillId="12" borderId="0" xfId="0" applyNumberFormat="1" applyFont="1" applyFill="1"/>
    <xf numFmtId="176" fontId="33" fillId="12" borderId="0" xfId="0" applyNumberFormat="1" applyFont="1" applyFill="1"/>
    <xf numFmtId="177" fontId="0" fillId="0" borderId="0" xfId="0" applyNumberFormat="1"/>
    <xf numFmtId="179" fontId="0" fillId="0" borderId="0" xfId="0" applyNumberFormat="1"/>
    <xf numFmtId="168" fontId="0" fillId="9" borderId="0" xfId="1" applyNumberFormat="1" applyFont="1" applyFill="1"/>
    <xf numFmtId="176" fontId="0" fillId="0" borderId="0" xfId="0" applyNumberForma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44" fontId="0" fillId="0" borderId="0" xfId="11" applyFont="1"/>
    <xf numFmtId="0" fontId="0" fillId="0" borderId="0" xfId="0" applyFont="1" applyFill="1"/>
    <xf numFmtId="0" fontId="0" fillId="0" borderId="0" xfId="0" applyFill="1"/>
    <xf numFmtId="0" fontId="36" fillId="0" borderId="0" xfId="0" applyFont="1"/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horizontal="left" vertical="top"/>
    </xf>
    <xf numFmtId="0" fontId="36" fillId="0" borderId="3" xfId="0" applyFont="1" applyFill="1" applyBorder="1" applyAlignment="1">
      <alignment horizontal="left" vertical="top"/>
    </xf>
    <xf numFmtId="0" fontId="36" fillId="0" borderId="3" xfId="0" applyFont="1" applyBorder="1" applyAlignment="1">
      <alignment horizontal="left" vertical="top"/>
    </xf>
    <xf numFmtId="0" fontId="36" fillId="0" borderId="2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36" fillId="0" borderId="4" xfId="0" applyFont="1" applyFill="1" applyBorder="1" applyAlignment="1">
      <alignment horizontal="left" vertical="top"/>
    </xf>
    <xf numFmtId="0" fontId="36" fillId="0" borderId="4" xfId="0" applyFont="1" applyBorder="1" applyAlignment="1">
      <alignment horizontal="left" vertical="top"/>
    </xf>
    <xf numFmtId="0" fontId="36" fillId="0" borderId="5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8" fillId="0" borderId="0" xfId="0" applyFont="1"/>
    <xf numFmtId="0" fontId="10" fillId="0" borderId="0" xfId="0" applyFont="1" applyAlignment="1">
      <alignment horizontal="left" vertical="top"/>
    </xf>
    <xf numFmtId="0" fontId="39" fillId="15" borderId="21" xfId="0" applyFont="1" applyFill="1" applyBorder="1" applyAlignment="1">
      <alignment vertical="top"/>
    </xf>
    <xf numFmtId="0" fontId="39" fillId="15" borderId="1" xfId="0" applyFont="1" applyFill="1" applyBorder="1" applyAlignment="1">
      <alignment vertical="center"/>
    </xf>
    <xf numFmtId="165" fontId="36" fillId="0" borderId="0" xfId="13" applyFont="1"/>
    <xf numFmtId="10" fontId="36" fillId="0" borderId="0" xfId="2" applyNumberFormat="1" applyFont="1"/>
    <xf numFmtId="0" fontId="38" fillId="0" borderId="2" xfId="0" applyFont="1" applyBorder="1" applyAlignment="1">
      <alignment horizontal="left" vertical="top" wrapText="1"/>
    </xf>
    <xf numFmtId="0" fontId="40" fillId="8" borderId="2" xfId="0" applyFont="1" applyFill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0" fontId="38" fillId="0" borderId="3" xfId="0" applyFont="1" applyBorder="1" applyAlignment="1">
      <alignment horizontal="left" vertical="top"/>
    </xf>
    <xf numFmtId="0" fontId="38" fillId="0" borderId="3" xfId="0" applyFont="1" applyFill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165" fontId="38" fillId="9" borderId="2" xfId="13" applyNumberFormat="1" applyFont="1" applyFill="1" applyBorder="1" applyAlignment="1">
      <alignment horizontal="left" vertical="top"/>
    </xf>
    <xf numFmtId="0" fontId="38" fillId="0" borderId="2" xfId="0" applyFont="1" applyFill="1" applyBorder="1" applyAlignment="1">
      <alignment horizontal="left" vertical="top"/>
    </xf>
    <xf numFmtId="0" fontId="36" fillId="0" borderId="0" xfId="0" applyFont="1" applyAlignment="1">
      <alignment horizontal="left" vertical="center" indent="1"/>
    </xf>
    <xf numFmtId="2" fontId="36" fillId="0" borderId="0" xfId="0" applyNumberFormat="1" applyFont="1" applyAlignment="1">
      <alignment horizontal="left" vertical="center" indent="1"/>
    </xf>
    <xf numFmtId="0" fontId="38" fillId="0" borderId="0" xfId="0" applyFont="1" applyAlignment="1">
      <alignment horizontal="left" vertical="center" indent="1"/>
    </xf>
    <xf numFmtId="10" fontId="38" fillId="0" borderId="2" xfId="2" applyNumberFormat="1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2" fontId="38" fillId="0" borderId="2" xfId="0" applyNumberFormat="1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2" fontId="38" fillId="0" borderId="2" xfId="0" applyNumberFormat="1" applyFont="1" applyFill="1" applyBorder="1" applyAlignment="1">
      <alignment horizontal="left" vertical="top"/>
    </xf>
    <xf numFmtId="0" fontId="38" fillId="0" borderId="4" xfId="0" applyFont="1" applyBorder="1" applyAlignment="1">
      <alignment horizontal="left" vertical="top"/>
    </xf>
    <xf numFmtId="2" fontId="38" fillId="0" borderId="4" xfId="0" applyNumberFormat="1" applyFont="1" applyBorder="1" applyAlignment="1">
      <alignment horizontal="left" vertical="top"/>
    </xf>
    <xf numFmtId="0" fontId="38" fillId="0" borderId="4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 wrapText="1"/>
    </xf>
    <xf numFmtId="181" fontId="24" fillId="0" borderId="2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center" indent="1"/>
    </xf>
    <xf numFmtId="0" fontId="24" fillId="2" borderId="2" xfId="0" applyFont="1" applyFill="1" applyBorder="1" applyAlignment="1">
      <alignment horizontal="left" vertical="top"/>
    </xf>
    <xf numFmtId="0" fontId="29" fillId="0" borderId="0" xfId="0" applyFont="1" applyAlignment="1">
      <alignment horizontal="left" vertical="center" indent="1"/>
    </xf>
    <xf numFmtId="181" fontId="24" fillId="2" borderId="2" xfId="0" applyNumberFormat="1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9" borderId="2" xfId="0" applyFont="1" applyFill="1" applyBorder="1" applyAlignment="1">
      <alignment horizontal="left" vertical="top"/>
    </xf>
    <xf numFmtId="0" fontId="41" fillId="0" borderId="5" xfId="0" applyFont="1" applyFill="1" applyBorder="1" applyAlignment="1">
      <alignment horizontal="left" vertical="top" indent="1"/>
    </xf>
    <xf numFmtId="0" fontId="0" fillId="0" borderId="0" xfId="0" applyAlignment="1">
      <alignment horizontal="left" vertical="center" indent="1"/>
    </xf>
    <xf numFmtId="10" fontId="7" fillId="9" borderId="2" xfId="2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65" fontId="7" fillId="9" borderId="2" xfId="13" applyFont="1" applyFill="1" applyBorder="1" applyAlignment="1">
      <alignment horizontal="left" vertical="top"/>
    </xf>
    <xf numFmtId="182" fontId="7" fillId="0" borderId="2" xfId="0" applyNumberFormat="1" applyFont="1" applyBorder="1" applyAlignment="1">
      <alignment horizontal="left" vertical="top"/>
    </xf>
    <xf numFmtId="183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169" fontId="7" fillId="0" borderId="2" xfId="2" applyNumberFormat="1" applyFont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38" fillId="0" borderId="0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10" fontId="7" fillId="0" borderId="2" xfId="0" applyNumberFormat="1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43" fillId="0" borderId="0" xfId="0" applyFont="1" applyAlignment="1">
      <alignment horizontal="left"/>
    </xf>
    <xf numFmtId="10" fontId="43" fillId="0" borderId="0" xfId="2" applyNumberFormat="1" applyFont="1" applyAlignment="1">
      <alignment horizontal="left"/>
    </xf>
    <xf numFmtId="10" fontId="43" fillId="0" borderId="0" xfId="2" applyNumberFormat="1" applyFont="1"/>
    <xf numFmtId="10" fontId="36" fillId="0" borderId="0" xfId="2" applyNumberFormat="1" applyFont="1" applyFill="1"/>
    <xf numFmtId="10" fontId="38" fillId="0" borderId="0" xfId="2" applyNumberFormat="1" applyFont="1"/>
    <xf numFmtId="0" fontId="36" fillId="0" borderId="0" xfId="0" applyFont="1" applyAlignment="1">
      <alignment horizontal="left" vertical="top"/>
    </xf>
    <xf numFmtId="0" fontId="13" fillId="0" borderId="0" xfId="0" applyFont="1"/>
    <xf numFmtId="181" fontId="0" fillId="0" borderId="0" xfId="0" applyNumberFormat="1" applyFont="1" applyAlignment="1">
      <alignment horizontal="left" vertical="center" indent="1"/>
    </xf>
    <xf numFmtId="0" fontId="7" fillId="13" borderId="2" xfId="0" applyFont="1" applyFill="1" applyBorder="1" applyAlignment="1">
      <alignment horizontal="left" vertical="top"/>
    </xf>
    <xf numFmtId="0" fontId="7" fillId="13" borderId="3" xfId="0" applyFont="1" applyFill="1" applyBorder="1" applyAlignment="1">
      <alignment horizontal="left" vertical="top"/>
    </xf>
    <xf numFmtId="0" fontId="7" fillId="13" borderId="3" xfId="0" applyFont="1" applyFill="1" applyBorder="1" applyAlignment="1">
      <alignment horizontal="left" vertical="top" wrapText="1"/>
    </xf>
    <xf numFmtId="0" fontId="38" fillId="13" borderId="2" xfId="0" applyFont="1" applyFill="1" applyBorder="1" applyAlignment="1">
      <alignment horizontal="left" vertical="top"/>
    </xf>
    <xf numFmtId="0" fontId="24" fillId="13" borderId="2" xfId="0" applyFont="1" applyFill="1" applyBorder="1" applyAlignment="1">
      <alignment horizontal="left" vertical="top"/>
    </xf>
    <xf numFmtId="43" fontId="24" fillId="13" borderId="2" xfId="1" applyFont="1" applyFill="1" applyBorder="1" applyAlignment="1">
      <alignment horizontal="left" vertical="top"/>
    </xf>
    <xf numFmtId="43" fontId="24" fillId="13" borderId="3" xfId="1" applyFont="1" applyFill="1" applyBorder="1" applyAlignment="1">
      <alignment horizontal="left" vertical="top"/>
    </xf>
    <xf numFmtId="43" fontId="36" fillId="0" borderId="0" xfId="1" applyFont="1"/>
    <xf numFmtId="43" fontId="36" fillId="0" borderId="0" xfId="1" applyFont="1" applyAlignment="1">
      <alignment horizontal="left" vertical="center" indent="1"/>
    </xf>
    <xf numFmtId="43" fontId="36" fillId="0" borderId="0" xfId="1" applyFont="1" applyFill="1"/>
    <xf numFmtId="168" fontId="0" fillId="0" borderId="0" xfId="1" applyNumberFormat="1" applyFont="1" applyFill="1"/>
    <xf numFmtId="0" fontId="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5" fillId="10" borderId="0" xfId="0" applyFont="1" applyFill="1" applyAlignment="1">
      <alignment horizontal="left" vertical="center"/>
    </xf>
    <xf numFmtId="43" fontId="47" fillId="0" borderId="0" xfId="1" applyFont="1" applyFill="1" applyAlignment="1">
      <alignment horizontal="right" vertical="center"/>
    </xf>
    <xf numFmtId="0" fontId="52" fillId="0" borderId="0" xfId="0" applyFont="1"/>
    <xf numFmtId="0" fontId="52" fillId="0" borderId="0" xfId="0" applyFont="1" applyFill="1"/>
    <xf numFmtId="0" fontId="53" fillId="0" borderId="0" xfId="0" applyFont="1" applyFill="1" applyAlignment="1">
      <alignment horizontal="center"/>
    </xf>
    <xf numFmtId="0" fontId="0" fillId="0" borderId="0" xfId="0" applyFill="1" applyBorder="1"/>
    <xf numFmtId="0" fontId="51" fillId="0" borderId="0" xfId="0" applyFont="1"/>
    <xf numFmtId="0" fontId="59" fillId="0" borderId="0" xfId="0" applyFont="1"/>
    <xf numFmtId="0" fontId="60" fillId="0" borderId="0" xfId="0" applyFont="1"/>
    <xf numFmtId="10" fontId="0" fillId="0" borderId="0" xfId="2" applyNumberFormat="1" applyFont="1" applyAlignment="1">
      <alignment horizontal="right"/>
    </xf>
    <xf numFmtId="0" fontId="51" fillId="0" borderId="0" xfId="0" applyFont="1" applyFill="1"/>
    <xf numFmtId="0" fontId="46" fillId="0" borderId="0" xfId="0" applyFont="1"/>
    <xf numFmtId="10" fontId="46" fillId="0" borderId="0" xfId="2" applyNumberFormat="1" applyFont="1"/>
    <xf numFmtId="0" fontId="62" fillId="0" borderId="0" xfId="0" applyFont="1"/>
    <xf numFmtId="0" fontId="62" fillId="0" borderId="0" xfId="0" applyFont="1" applyFill="1"/>
    <xf numFmtId="0" fontId="63" fillId="0" borderId="0" xfId="0" applyFont="1"/>
    <xf numFmtId="0" fontId="19" fillId="0" borderId="0" xfId="0" applyFont="1"/>
    <xf numFmtId="0" fontId="12" fillId="0" borderId="0" xfId="0" applyFont="1"/>
    <xf numFmtId="0" fontId="12" fillId="0" borderId="0" xfId="0" applyFont="1" applyAlignment="1">
      <alignment horizontal="right" vertical="center"/>
    </xf>
    <xf numFmtId="0" fontId="65" fillId="0" borderId="0" xfId="0" applyFont="1"/>
    <xf numFmtId="0" fontId="12" fillId="0" borderId="0" xfId="0" applyFont="1" applyAlignment="1">
      <alignment horizontal="right" vertical="center" wrapText="1"/>
    </xf>
    <xf numFmtId="43" fontId="25" fillId="0" borderId="22" xfId="1" applyFont="1" applyFill="1" applyBorder="1" applyAlignment="1">
      <alignment horizontal="right" vertical="center"/>
    </xf>
    <xf numFmtId="0" fontId="55" fillId="0" borderId="0" xfId="0" applyFont="1" applyFill="1"/>
    <xf numFmtId="0" fontId="67" fillId="0" borderId="0" xfId="0" applyFont="1" applyFill="1" applyAlignment="1">
      <alignment vertical="center" textRotation="90"/>
    </xf>
    <xf numFmtId="168" fontId="0" fillId="0" borderId="0" xfId="1" applyNumberFormat="1" applyFont="1" applyFill="1" applyBorder="1"/>
    <xf numFmtId="0" fontId="68" fillId="0" borderId="0" xfId="0" applyFont="1" applyAlignment="1">
      <alignment horizontal="center" vertical="center" wrapText="1"/>
    </xf>
    <xf numFmtId="0" fontId="68" fillId="0" borderId="0" xfId="0" applyFont="1" applyFill="1" applyAlignment="1">
      <alignment horizontal="center" vertical="center" wrapText="1"/>
    </xf>
    <xf numFmtId="0" fontId="6" fillId="10" borderId="20" xfId="0" applyFont="1" applyFill="1" applyBorder="1" applyAlignment="1">
      <alignment horizontal="center"/>
    </xf>
    <xf numFmtId="0" fontId="45" fillId="10" borderId="20" xfId="0" applyFont="1" applyFill="1" applyBorder="1" applyAlignment="1">
      <alignment horizontal="right" vertical="center"/>
    </xf>
    <xf numFmtId="0" fontId="69" fillId="2" borderId="0" xfId="0" applyFont="1" applyFill="1" applyBorder="1" applyAlignment="1">
      <alignment horizontal="center" vertical="center" textRotation="90"/>
    </xf>
    <xf numFmtId="0" fontId="0" fillId="0" borderId="0" xfId="0" applyFill="1" applyAlignment="1">
      <alignment horizontal="right" vertical="center"/>
    </xf>
    <xf numFmtId="0" fontId="0" fillId="10" borderId="17" xfId="0" applyFill="1" applyBorder="1"/>
    <xf numFmtId="0" fontId="0" fillId="0" borderId="0" xfId="0" applyFont="1" applyBorder="1" applyAlignment="1">
      <alignment vertical="center"/>
    </xf>
    <xf numFmtId="0" fontId="45" fillId="10" borderId="20" xfId="0" applyFont="1" applyFill="1" applyBorder="1" applyAlignment="1">
      <alignment horizontal="left" indent="1"/>
    </xf>
    <xf numFmtId="0" fontId="20" fillId="0" borderId="0" xfId="0" applyFont="1"/>
    <xf numFmtId="0" fontId="20" fillId="0" borderId="0" xfId="0" applyFont="1" applyFill="1"/>
    <xf numFmtId="0" fontId="0" fillId="0" borderId="20" xfId="0" applyBorder="1"/>
    <xf numFmtId="0" fontId="15" fillId="0" borderId="20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74" fillId="0" borderId="0" xfId="0" applyFont="1" applyBorder="1"/>
    <xf numFmtId="0" fontId="0" fillId="0" borderId="0" xfId="0" applyFont="1" applyFill="1" applyBorder="1" applyAlignment="1">
      <alignment vertical="center"/>
    </xf>
    <xf numFmtId="0" fontId="73" fillId="16" borderId="27" xfId="0" applyFont="1" applyFill="1" applyBorder="1" applyAlignment="1">
      <alignment vertical="center"/>
    </xf>
    <xf numFmtId="0" fontId="73" fillId="16" borderId="34" xfId="0" applyFont="1" applyFill="1" applyBorder="1" applyAlignment="1">
      <alignment vertical="center"/>
    </xf>
    <xf numFmtId="0" fontId="53" fillId="17" borderId="17" xfId="0" applyFont="1" applyFill="1" applyBorder="1" applyAlignment="1">
      <alignment horizontal="center"/>
    </xf>
    <xf numFmtId="0" fontId="53" fillId="17" borderId="20" xfId="0" applyFont="1" applyFill="1" applyBorder="1" applyAlignment="1">
      <alignment horizontal="center"/>
    </xf>
    <xf numFmtId="0" fontId="53" fillId="17" borderId="22" xfId="0" applyFont="1" applyFill="1" applyBorder="1" applyAlignment="1">
      <alignment horizontal="center"/>
    </xf>
    <xf numFmtId="0" fontId="53" fillId="17" borderId="0" xfId="0" applyFont="1" applyFill="1" applyBorder="1" applyAlignment="1">
      <alignment horizontal="center"/>
    </xf>
    <xf numFmtId="0" fontId="53" fillId="17" borderId="23" xfId="0" applyFont="1" applyFill="1" applyBorder="1" applyAlignment="1">
      <alignment horizontal="center"/>
    </xf>
    <xf numFmtId="0" fontId="53" fillId="17" borderId="16" xfId="0" applyFont="1" applyFill="1" applyBorder="1" applyAlignment="1">
      <alignment horizontal="center"/>
    </xf>
    <xf numFmtId="0" fontId="74" fillId="17" borderId="0" xfId="0" applyFont="1" applyFill="1" applyBorder="1" applyAlignment="1">
      <alignment horizontal="right" vertical="center"/>
    </xf>
    <xf numFmtId="0" fontId="70" fillId="10" borderId="0" xfId="0" applyFont="1" applyFill="1" applyBorder="1" applyAlignment="1">
      <alignment horizontal="center" vertical="center" wrapText="1"/>
    </xf>
    <xf numFmtId="0" fontId="6" fillId="17" borderId="0" xfId="0" applyFont="1" applyFill="1" applyBorder="1" applyAlignment="1">
      <alignment horizontal="center"/>
    </xf>
    <xf numFmtId="0" fontId="45" fillId="17" borderId="0" xfId="0" applyFont="1" applyFill="1" applyBorder="1" applyAlignment="1">
      <alignment horizontal="right" vertical="center"/>
    </xf>
    <xf numFmtId="168" fontId="56" fillId="17" borderId="0" xfId="1" applyNumberFormat="1" applyFont="1" applyFill="1" applyBorder="1"/>
    <xf numFmtId="168" fontId="15" fillId="17" borderId="0" xfId="1" applyNumberFormat="1" applyFont="1" applyFill="1" applyBorder="1" applyAlignment="1">
      <alignment horizontal="right" vertical="center"/>
    </xf>
    <xf numFmtId="43" fontId="47" fillId="17" borderId="0" xfId="1" applyFont="1" applyFill="1" applyBorder="1" applyAlignment="1">
      <alignment horizontal="right" vertical="center"/>
    </xf>
    <xf numFmtId="43" fontId="47" fillId="17" borderId="16" xfId="1" applyFont="1" applyFill="1" applyBorder="1" applyAlignment="1">
      <alignment horizontal="right" vertical="center"/>
    </xf>
    <xf numFmtId="0" fontId="0" fillId="17" borderId="0" xfId="0" applyFill="1" applyBorder="1" applyAlignment="1">
      <alignment vertical="center"/>
    </xf>
    <xf numFmtId="0" fontId="0" fillId="17" borderId="0" xfId="0" applyFill="1" applyBorder="1" applyAlignment="1">
      <alignment horizontal="right" vertical="center"/>
    </xf>
    <xf numFmtId="0" fontId="77" fillId="17" borderId="0" xfId="0" applyFont="1" applyFill="1" applyBorder="1" applyAlignment="1">
      <alignment horizontal="right" vertical="center"/>
    </xf>
    <xf numFmtId="0" fontId="0" fillId="17" borderId="0" xfId="0" applyFont="1" applyFill="1" applyBorder="1" applyAlignment="1">
      <alignment vertical="center"/>
    </xf>
    <xf numFmtId="0" fontId="23" fillId="17" borderId="22" xfId="0" applyFont="1" applyFill="1" applyBorder="1" applyAlignment="1">
      <alignment horizontal="right" vertical="center"/>
    </xf>
    <xf numFmtId="0" fontId="77" fillId="17" borderId="22" xfId="0" applyFont="1" applyFill="1" applyBorder="1" applyAlignment="1">
      <alignment horizontal="right" vertical="center"/>
    </xf>
    <xf numFmtId="0" fontId="0" fillId="17" borderId="22" xfId="0" applyFont="1" applyFill="1" applyBorder="1" applyAlignment="1">
      <alignment vertical="center"/>
    </xf>
    <xf numFmtId="0" fontId="23" fillId="17" borderId="23" xfId="0" applyFont="1" applyFill="1" applyBorder="1" applyAlignment="1">
      <alignment horizontal="right" vertical="center"/>
    </xf>
    <xf numFmtId="0" fontId="0" fillId="17" borderId="16" xfId="0" applyFill="1" applyBorder="1" applyAlignment="1">
      <alignment vertical="center"/>
    </xf>
    <xf numFmtId="0" fontId="0" fillId="17" borderId="0" xfId="0" applyFill="1" applyBorder="1"/>
    <xf numFmtId="0" fontId="0" fillId="17" borderId="16" xfId="0" applyFill="1" applyBorder="1"/>
    <xf numFmtId="0" fontId="24" fillId="17" borderId="0" xfId="0" applyFont="1" applyFill="1" applyBorder="1" applyAlignment="1">
      <alignment vertical="center"/>
    </xf>
    <xf numFmtId="0" fontId="2" fillId="17" borderId="0" xfId="0" applyFont="1" applyFill="1" applyBorder="1"/>
    <xf numFmtId="0" fontId="0" fillId="17" borderId="0" xfId="0" applyFont="1" applyFill="1" applyBorder="1"/>
    <xf numFmtId="0" fontId="0" fillId="17" borderId="16" xfId="0" applyFont="1" applyFill="1" applyBorder="1"/>
    <xf numFmtId="0" fontId="73" fillId="0" borderId="27" xfId="0" applyFont="1" applyFill="1" applyBorder="1"/>
    <xf numFmtId="0" fontId="73" fillId="0" borderId="34" xfId="0" applyFont="1" applyFill="1" applyBorder="1"/>
    <xf numFmtId="0" fontId="15" fillId="17" borderId="16" xfId="0" applyFont="1" applyFill="1" applyBorder="1" applyAlignment="1">
      <alignment horizontal="right" vertical="center"/>
    </xf>
    <xf numFmtId="168" fontId="72" fillId="17" borderId="34" xfId="1" applyNumberFormat="1" applyFont="1" applyFill="1" applyBorder="1" applyAlignment="1">
      <alignment horizontal="right" vertical="center"/>
    </xf>
    <xf numFmtId="168" fontId="72" fillId="17" borderId="34" xfId="1" applyNumberFormat="1" applyFont="1" applyFill="1" applyBorder="1"/>
    <xf numFmtId="0" fontId="15" fillId="17" borderId="0" xfId="0" applyFont="1" applyFill="1" applyBorder="1" applyAlignment="1">
      <alignment horizontal="right" vertical="center"/>
    </xf>
    <xf numFmtId="0" fontId="0" fillId="17" borderId="22" xfId="0" applyFill="1" applyBorder="1"/>
    <xf numFmtId="43" fontId="0" fillId="17" borderId="22" xfId="0" applyNumberFormat="1" applyFill="1" applyBorder="1"/>
    <xf numFmtId="0" fontId="47" fillId="17" borderId="0" xfId="0" applyFont="1" applyFill="1" applyBorder="1" applyAlignment="1">
      <alignment horizontal="right" vertical="center"/>
    </xf>
    <xf numFmtId="0" fontId="54" fillId="17" borderId="0" xfId="0" applyFont="1" applyFill="1" applyBorder="1" applyAlignment="1">
      <alignment horizontal="right" vertical="center"/>
    </xf>
    <xf numFmtId="168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 vertical="center"/>
    </xf>
    <xf numFmtId="43" fontId="0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/>
    <xf numFmtId="0" fontId="6" fillId="10" borderId="40" xfId="0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2" fillId="0" borderId="22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15" xfId="0" applyFont="1" applyFill="1" applyBorder="1" applyAlignment="1">
      <alignment horizontal="center" vertical="center" wrapText="1"/>
    </xf>
    <xf numFmtId="0" fontId="79" fillId="0" borderId="0" xfId="0" applyFont="1" applyFill="1"/>
    <xf numFmtId="168" fontId="50" fillId="0" borderId="24" xfId="1" applyNumberFormat="1" applyFont="1" applyFill="1" applyBorder="1" applyAlignment="1">
      <alignment horizontal="right" vertical="center"/>
    </xf>
    <xf numFmtId="168" fontId="25" fillId="0" borderId="52" xfId="1" applyNumberFormat="1" applyFont="1" applyFill="1" applyBorder="1" applyAlignment="1">
      <alignment horizontal="right" vertical="center"/>
    </xf>
    <xf numFmtId="170" fontId="1" fillId="0" borderId="26" xfId="1" applyNumberFormat="1" applyFont="1" applyFill="1" applyBorder="1" applyAlignment="1">
      <alignment horizontal="right" vertical="center"/>
    </xf>
    <xf numFmtId="170" fontId="12" fillId="0" borderId="25" xfId="1" applyNumberFormat="1" applyFont="1" applyFill="1" applyBorder="1" applyAlignment="1">
      <alignment horizontal="right" vertical="center"/>
    </xf>
    <xf numFmtId="43" fontId="64" fillId="0" borderId="26" xfId="1" applyFont="1" applyFill="1" applyBorder="1" applyAlignment="1">
      <alignment horizontal="right" vertical="center"/>
    </xf>
    <xf numFmtId="170" fontId="27" fillId="0" borderId="51" xfId="1" applyNumberFormat="1" applyFont="1" applyFill="1" applyBorder="1" applyAlignment="1">
      <alignment horizontal="right" vertical="center"/>
    </xf>
    <xf numFmtId="43" fontId="46" fillId="0" borderId="25" xfId="1" applyFont="1" applyFill="1" applyBorder="1" applyAlignment="1">
      <alignment horizontal="right" vertical="center"/>
    </xf>
    <xf numFmtId="168" fontId="25" fillId="0" borderId="25" xfId="1" applyNumberFormat="1" applyFont="1" applyFill="1" applyBorder="1" applyAlignment="1">
      <alignment horizontal="right" vertical="center"/>
    </xf>
    <xf numFmtId="43" fontId="50" fillId="0" borderId="25" xfId="1" applyFont="1" applyFill="1" applyBorder="1" applyAlignment="1">
      <alignment horizontal="right" vertical="center"/>
    </xf>
    <xf numFmtId="168" fontId="50" fillId="0" borderId="25" xfId="1" applyNumberFormat="1" applyFont="1" applyFill="1" applyBorder="1" applyAlignment="1">
      <alignment horizontal="right" vertical="center"/>
    </xf>
    <xf numFmtId="168" fontId="64" fillId="0" borderId="25" xfId="1" applyNumberFormat="1" applyFont="1" applyFill="1" applyBorder="1" applyAlignment="1">
      <alignment horizontal="right" vertical="center"/>
    </xf>
    <xf numFmtId="170" fontId="27" fillId="0" borderId="26" xfId="1" applyNumberFormat="1" applyFont="1" applyFill="1" applyBorder="1" applyAlignment="1">
      <alignment horizontal="right" vertical="center"/>
    </xf>
    <xf numFmtId="43" fontId="46" fillId="0" borderId="25" xfId="1" applyNumberFormat="1" applyFont="1" applyFill="1" applyBorder="1" applyAlignment="1">
      <alignment horizontal="right" vertical="center"/>
    </xf>
    <xf numFmtId="170" fontId="1" fillId="0" borderId="25" xfId="1" applyNumberFormat="1" applyFont="1" applyFill="1" applyBorder="1" applyAlignment="1">
      <alignment horizontal="right" vertical="center"/>
    </xf>
    <xf numFmtId="0" fontId="78" fillId="0" borderId="24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0" fillId="0" borderId="0" xfId="0" applyBorder="1"/>
    <xf numFmtId="0" fontId="0" fillId="0" borderId="0" xfId="0" applyAlignment="1">
      <alignment horizontal="right" vertical="center"/>
    </xf>
    <xf numFmtId="0" fontId="15" fillId="0" borderId="0" xfId="0" applyFont="1"/>
    <xf numFmtId="0" fontId="0" fillId="0" borderId="19" xfId="0" applyBorder="1"/>
    <xf numFmtId="0" fontId="28" fillId="0" borderId="0" xfId="0" applyFont="1"/>
    <xf numFmtId="0" fontId="2" fillId="0" borderId="0" xfId="0" applyFont="1"/>
    <xf numFmtId="0" fontId="27" fillId="0" borderId="0" xfId="0" applyFont="1"/>
    <xf numFmtId="0" fontId="0" fillId="0" borderId="0" xfId="0" applyFont="1" applyFill="1"/>
    <xf numFmtId="0" fontId="0" fillId="0" borderId="0" xfId="0" applyFill="1"/>
    <xf numFmtId="0" fontId="13" fillId="0" borderId="0" xfId="0" applyFont="1"/>
    <xf numFmtId="0" fontId="0" fillId="0" borderId="0" xfId="0" applyFill="1" applyBorder="1"/>
    <xf numFmtId="0" fontId="51" fillId="0" borderId="0" xfId="0" applyFont="1"/>
    <xf numFmtId="0" fontId="59" fillId="0" borderId="0" xfId="0" applyFont="1"/>
    <xf numFmtId="0" fontId="60" fillId="0" borderId="0" xfId="0" applyFont="1"/>
    <xf numFmtId="10" fontId="0" fillId="0" borderId="0" xfId="2" applyNumberFormat="1" applyFont="1" applyAlignment="1">
      <alignment horizontal="right"/>
    </xf>
    <xf numFmtId="0" fontId="51" fillId="0" borderId="0" xfId="0" applyFont="1" applyFill="1"/>
    <xf numFmtId="0" fontId="46" fillId="0" borderId="0" xfId="0" applyFont="1"/>
    <xf numFmtId="10" fontId="46" fillId="0" borderId="0" xfId="2" applyNumberFormat="1" applyFont="1"/>
    <xf numFmtId="0" fontId="62" fillId="0" borderId="0" xfId="0" applyFont="1"/>
    <xf numFmtId="0" fontId="62" fillId="0" borderId="0" xfId="0" applyFont="1" applyFill="1"/>
    <xf numFmtId="0" fontId="63" fillId="0" borderId="0" xfId="0" applyFont="1"/>
    <xf numFmtId="0" fontId="19" fillId="0" borderId="0" xfId="0" applyFont="1"/>
    <xf numFmtId="0" fontId="61" fillId="0" borderId="23" xfId="0" applyFont="1" applyFill="1" applyBorder="1" applyAlignment="1">
      <alignment horizontal="left" vertical="center" indent="1"/>
    </xf>
    <xf numFmtId="10" fontId="46" fillId="0" borderId="25" xfId="2" applyNumberFormat="1" applyFont="1" applyFill="1" applyBorder="1" applyAlignment="1">
      <alignment horizontal="right" vertical="center"/>
    </xf>
    <xf numFmtId="0" fontId="47" fillId="0" borderId="23" xfId="0" applyFont="1" applyFill="1" applyBorder="1" applyAlignment="1">
      <alignment horizontal="left" vertical="center" indent="1"/>
    </xf>
    <xf numFmtId="10" fontId="46" fillId="0" borderId="22" xfId="2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27" fillId="0" borderId="23" xfId="0" applyFont="1" applyFill="1" applyBorder="1" applyAlignment="1">
      <alignment wrapText="1"/>
    </xf>
    <xf numFmtId="0" fontId="0" fillId="0" borderId="22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right" vertical="center"/>
    </xf>
    <xf numFmtId="0" fontId="27" fillId="0" borderId="27" xfId="0" applyFont="1" applyFill="1" applyBorder="1"/>
    <xf numFmtId="0" fontId="25" fillId="0" borderId="22" xfId="0" applyFont="1" applyFill="1" applyBorder="1" applyAlignment="1">
      <alignment horizontal="right" vertical="center"/>
    </xf>
    <xf numFmtId="0" fontId="46" fillId="0" borderId="22" xfId="0" applyFont="1" applyFill="1" applyBorder="1" applyAlignment="1">
      <alignment horizontal="right" vertical="center"/>
    </xf>
    <xf numFmtId="10" fontId="25" fillId="0" borderId="23" xfId="2" applyNumberFormat="1" applyFont="1" applyFill="1" applyBorder="1" applyAlignment="1">
      <alignment horizontal="right" vertical="center"/>
    </xf>
    <xf numFmtId="0" fontId="25" fillId="0" borderId="23" xfId="0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right" vertical="center"/>
    </xf>
    <xf numFmtId="0" fontId="25" fillId="0" borderId="29" xfId="0" applyFont="1" applyFill="1" applyBorder="1" applyAlignment="1">
      <alignment horizontal="right" vertical="center"/>
    </xf>
    <xf numFmtId="0" fontId="46" fillId="0" borderId="23" xfId="0" applyFont="1" applyFill="1" applyBorder="1" applyAlignment="1">
      <alignment horizontal="right" vertical="center"/>
    </xf>
    <xf numFmtId="0" fontId="59" fillId="0" borderId="22" xfId="0" applyFont="1" applyFill="1" applyBorder="1" applyAlignment="1">
      <alignment horizontal="right" vertical="center"/>
    </xf>
    <xf numFmtId="0" fontId="60" fillId="0" borderId="22" xfId="0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0" fontId="51" fillId="0" borderId="22" xfId="0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0" fontId="27" fillId="0" borderId="23" xfId="0" applyFont="1" applyFill="1" applyBorder="1"/>
    <xf numFmtId="0" fontId="58" fillId="0" borderId="22" xfId="0" applyFont="1" applyFill="1" applyBorder="1" applyAlignment="1">
      <alignment horizontal="left" vertical="center"/>
    </xf>
    <xf numFmtId="0" fontId="0" fillId="0" borderId="22" xfId="0" applyFill="1" applyBorder="1"/>
    <xf numFmtId="0" fontId="58" fillId="0" borderId="17" xfId="0" applyFont="1" applyFill="1" applyBorder="1" applyAlignment="1">
      <alignment horizontal="left" vertical="center"/>
    </xf>
    <xf numFmtId="9" fontId="51" fillId="0" borderId="26" xfId="2" applyFont="1" applyFill="1" applyBorder="1" applyAlignment="1">
      <alignment horizontal="right" vertical="center"/>
    </xf>
    <xf numFmtId="0" fontId="50" fillId="0" borderId="25" xfId="0" applyFont="1" applyFill="1" applyBorder="1" applyAlignment="1">
      <alignment horizontal="right" vertical="center"/>
    </xf>
    <xf numFmtId="10" fontId="50" fillId="0" borderId="26" xfId="2" applyNumberFormat="1" applyFont="1" applyFill="1" applyBorder="1" applyAlignment="1">
      <alignment horizontal="right" vertical="center"/>
    </xf>
    <xf numFmtId="9" fontId="46" fillId="0" borderId="26" xfId="2" applyFont="1" applyFill="1" applyBorder="1" applyAlignment="1">
      <alignment horizontal="right" vertical="center"/>
    </xf>
    <xf numFmtId="10" fontId="25" fillId="0" borderId="25" xfId="2" applyNumberFormat="1" applyFont="1" applyFill="1" applyBorder="1" applyAlignment="1">
      <alignment horizontal="right" vertical="center"/>
    </xf>
    <xf numFmtId="9" fontId="46" fillId="0" borderId="25" xfId="2" applyFont="1" applyFill="1" applyBorder="1" applyAlignment="1">
      <alignment horizontal="right" vertical="center"/>
    </xf>
    <xf numFmtId="10" fontId="46" fillId="0" borderId="26" xfId="2" applyNumberFormat="1" applyFont="1" applyFill="1" applyBorder="1" applyAlignment="1">
      <alignment horizontal="right" vertical="center"/>
    </xf>
    <xf numFmtId="184" fontId="27" fillId="0" borderId="50" xfId="8" applyNumberFormat="1" applyFont="1" applyFill="1" applyBorder="1" applyAlignment="1">
      <alignment horizontal="right" vertical="center"/>
    </xf>
    <xf numFmtId="184" fontId="59" fillId="0" borderId="25" xfId="8" applyNumberFormat="1" applyFont="1" applyFill="1" applyBorder="1" applyAlignment="1">
      <alignment horizontal="right" vertical="center"/>
    </xf>
    <xf numFmtId="184" fontId="60" fillId="0" borderId="25" xfId="8" applyNumberFormat="1" applyFont="1" applyFill="1" applyBorder="1" applyAlignment="1">
      <alignment horizontal="right" vertical="center"/>
    </xf>
    <xf numFmtId="184" fontId="0" fillId="0" borderId="25" xfId="8" applyNumberFormat="1" applyFont="1" applyFill="1" applyBorder="1" applyAlignment="1">
      <alignment horizontal="right" vertical="center"/>
    </xf>
    <xf numFmtId="184" fontId="27" fillId="0" borderId="26" xfId="8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55" fillId="0" borderId="0" xfId="0" applyFont="1" applyFill="1"/>
    <xf numFmtId="10" fontId="25" fillId="0" borderId="51" xfId="2" applyNumberFormat="1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horizontal="right" vertical="center"/>
    </xf>
    <xf numFmtId="0" fontId="6" fillId="10" borderId="20" xfId="0" applyFont="1" applyFill="1" applyBorder="1" applyAlignment="1">
      <alignment horizontal="center"/>
    </xf>
    <xf numFmtId="0" fontId="45" fillId="10" borderId="20" xfId="0" applyFont="1" applyFill="1" applyBorder="1" applyAlignment="1">
      <alignment horizontal="left" vertical="center"/>
    </xf>
    <xf numFmtId="0" fontId="6" fillId="10" borderId="20" xfId="0" applyFont="1" applyFill="1" applyBorder="1" applyAlignment="1">
      <alignment horizontal="center" vertical="center"/>
    </xf>
    <xf numFmtId="0" fontId="45" fillId="10" borderId="20" xfId="0" applyFont="1" applyFill="1" applyBorder="1" applyAlignment="1">
      <alignment horizontal="right" vertical="center"/>
    </xf>
    <xf numFmtId="0" fontId="45" fillId="10" borderId="18" xfId="0" applyFont="1" applyFill="1" applyBorder="1" applyAlignment="1">
      <alignment horizontal="right" vertical="center"/>
    </xf>
    <xf numFmtId="0" fontId="50" fillId="0" borderId="0" xfId="0" applyFont="1" applyFill="1"/>
    <xf numFmtId="0" fontId="6" fillId="8" borderId="0" xfId="0" applyFont="1" applyFill="1" applyBorder="1" applyAlignment="1">
      <alignment horizontal="center" vertical="center"/>
    </xf>
    <xf numFmtId="0" fontId="0" fillId="10" borderId="17" xfId="0" applyFill="1" applyBorder="1"/>
    <xf numFmtId="0" fontId="45" fillId="10" borderId="20" xfId="0" applyFont="1" applyFill="1" applyBorder="1" applyAlignment="1">
      <alignment horizontal="left" indent="1"/>
    </xf>
    <xf numFmtId="0" fontId="45" fillId="10" borderId="20" xfId="0" applyFont="1" applyFill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70" fillId="10" borderId="0" xfId="0" applyFont="1" applyFill="1" applyBorder="1" applyAlignment="1">
      <alignment vertical="center"/>
    </xf>
    <xf numFmtId="0" fontId="73" fillId="0" borderId="34" xfId="0" applyFont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6" fillId="10" borderId="2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right" vertical="center"/>
    </xf>
    <xf numFmtId="0" fontId="69" fillId="10" borderId="35" xfId="0" applyFont="1" applyFill="1" applyBorder="1" applyAlignment="1">
      <alignment vertical="center" textRotation="90"/>
    </xf>
    <xf numFmtId="0" fontId="73" fillId="0" borderId="27" xfId="0" applyFont="1" applyBorder="1"/>
    <xf numFmtId="0" fontId="73" fillId="0" borderId="34" xfId="0" applyFont="1" applyBorder="1"/>
    <xf numFmtId="0" fontId="13" fillId="0" borderId="25" xfId="0" applyFont="1" applyFill="1" applyBorder="1" applyAlignment="1">
      <alignment horizontal="right" vertical="center"/>
    </xf>
    <xf numFmtId="0" fontId="76" fillId="0" borderId="25" xfId="0" applyFont="1" applyFill="1" applyBorder="1" applyAlignment="1">
      <alignment horizontal="right" vertical="center"/>
    </xf>
    <xf numFmtId="0" fontId="66" fillId="0" borderId="22" xfId="0" applyFont="1" applyFill="1" applyBorder="1" applyAlignment="1">
      <alignment horizontal="right" vertical="center"/>
    </xf>
    <xf numFmtId="0" fontId="76" fillId="0" borderId="22" xfId="0" applyFont="1" applyFill="1" applyBorder="1" applyAlignment="1">
      <alignment horizontal="right" vertical="center"/>
    </xf>
    <xf numFmtId="168" fontId="25" fillId="0" borderId="25" xfId="0" applyNumberFormat="1" applyFont="1" applyFill="1" applyBorder="1" applyAlignment="1">
      <alignment horizontal="right" vertical="center"/>
    </xf>
    <xf numFmtId="3" fontId="46" fillId="0" borderId="25" xfId="0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75" fillId="0" borderId="26" xfId="0" applyFont="1" applyFill="1" applyBorder="1" applyAlignment="1">
      <alignment horizontal="right" vertical="center"/>
    </xf>
    <xf numFmtId="0" fontId="0" fillId="0" borderId="22" xfId="0" applyBorder="1" applyAlignment="1">
      <alignment vertical="center"/>
    </xf>
    <xf numFmtId="185" fontId="72" fillId="0" borderId="26" xfId="8" applyNumberFormat="1" applyFont="1" applyFill="1" applyBorder="1" applyAlignment="1">
      <alignment horizontal="right" vertical="center"/>
    </xf>
    <xf numFmtId="0" fontId="25" fillId="0" borderId="19" xfId="0" applyFont="1" applyFill="1" applyBorder="1" applyAlignment="1">
      <alignment horizontal="right" vertical="center"/>
    </xf>
    <xf numFmtId="0" fontId="70" fillId="10" borderId="34" xfId="0" applyFont="1" applyFill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39" xfId="0" applyBorder="1"/>
    <xf numFmtId="167" fontId="0" fillId="0" borderId="47" xfId="0" applyNumberFormat="1" applyBorder="1"/>
    <xf numFmtId="0" fontId="0" fillId="0" borderId="28" xfId="0" applyBorder="1"/>
    <xf numFmtId="0" fontId="0" fillId="0" borderId="43" xfId="0" applyBorder="1"/>
    <xf numFmtId="167" fontId="0" fillId="0" borderId="48" xfId="0" applyNumberFormat="1" applyBorder="1"/>
    <xf numFmtId="0" fontId="64" fillId="0" borderId="0" xfId="0" applyFont="1" applyFill="1" applyBorder="1"/>
    <xf numFmtId="0" fontId="35" fillId="0" borderId="0" xfId="0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5" fillId="10" borderId="54" xfId="12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55" xfId="0" applyFont="1" applyFill="1" applyBorder="1" applyAlignment="1">
      <alignment horizontal="center" vertical="center"/>
    </xf>
    <xf numFmtId="0" fontId="35" fillId="10" borderId="45" xfId="12" applyFont="1" applyFill="1" applyBorder="1" applyAlignment="1">
      <alignment horizontal="center" vertical="center"/>
    </xf>
    <xf numFmtId="0" fontId="7" fillId="0" borderId="0" xfId="0" applyFont="1" applyFill="1" applyBorder="1"/>
    <xf numFmtId="168" fontId="46" fillId="0" borderId="25" xfId="1" applyNumberFormat="1" applyFont="1" applyFill="1" applyBorder="1" applyAlignment="1">
      <alignment horizontal="right" vertical="center"/>
    </xf>
    <xf numFmtId="168" fontId="64" fillId="0" borderId="52" xfId="1" applyNumberFormat="1" applyFont="1" applyFill="1" applyBorder="1" applyAlignment="1">
      <alignment horizontal="right" vertical="center"/>
    </xf>
    <xf numFmtId="174" fontId="58" fillId="0" borderId="25" xfId="1" applyNumberFormat="1" applyFont="1" applyFill="1" applyBorder="1" applyAlignment="1">
      <alignment horizontal="right" vertical="center"/>
    </xf>
    <xf numFmtId="168" fontId="0" fillId="0" borderId="25" xfId="1" applyNumberFormat="1" applyFont="1" applyFill="1" applyBorder="1" applyAlignment="1">
      <alignment horizontal="right" vertical="center"/>
    </xf>
    <xf numFmtId="172" fontId="76" fillId="0" borderId="25" xfId="1" applyNumberFormat="1" applyFont="1" applyFill="1" applyBorder="1" applyAlignment="1">
      <alignment horizontal="right" vertical="center"/>
    </xf>
    <xf numFmtId="171" fontId="0" fillId="0" borderId="25" xfId="1" applyNumberFormat="1" applyFont="1" applyFill="1" applyBorder="1" applyAlignment="1">
      <alignment horizontal="right" vertical="center"/>
    </xf>
    <xf numFmtId="171" fontId="66" fillId="0" borderId="25" xfId="1" applyNumberFormat="1" applyFont="1" applyFill="1" applyBorder="1" applyAlignment="1">
      <alignment horizontal="right" vertical="center"/>
    </xf>
    <xf numFmtId="168" fontId="0" fillId="0" borderId="26" xfId="1" applyNumberFormat="1" applyFont="1" applyFill="1" applyBorder="1" applyAlignment="1">
      <alignment horizontal="right" vertical="center"/>
    </xf>
    <xf numFmtId="168" fontId="1" fillId="0" borderId="25" xfId="1" applyNumberFormat="1" applyFont="1" applyFill="1" applyBorder="1" applyAlignment="1">
      <alignment horizontal="right" vertical="center"/>
    </xf>
    <xf numFmtId="170" fontId="0" fillId="0" borderId="25" xfId="1" applyNumberFormat="1" applyFont="1" applyFill="1" applyBorder="1" applyAlignment="1">
      <alignment horizontal="right" vertical="center"/>
    </xf>
    <xf numFmtId="170" fontId="76" fillId="0" borderId="25" xfId="1" applyNumberFormat="1" applyFont="1" applyFill="1" applyBorder="1" applyAlignment="1">
      <alignment horizontal="right" vertical="center"/>
    </xf>
    <xf numFmtId="170" fontId="66" fillId="0" borderId="25" xfId="1" applyNumberFormat="1" applyFont="1" applyFill="1" applyBorder="1" applyAlignment="1">
      <alignment horizontal="right" vertical="center"/>
    </xf>
    <xf numFmtId="174" fontId="58" fillId="0" borderId="24" xfId="1" applyNumberFormat="1" applyFont="1" applyFill="1" applyBorder="1" applyAlignment="1">
      <alignment horizontal="right" vertical="center"/>
    </xf>
    <xf numFmtId="168" fontId="0" fillId="0" borderId="18" xfId="1" applyNumberFormat="1" applyFont="1" applyFill="1" applyBorder="1" applyAlignment="1">
      <alignment horizontal="right" vertical="center"/>
    </xf>
    <xf numFmtId="173" fontId="76" fillId="0" borderId="19" xfId="1" applyNumberFormat="1" applyFont="1" applyFill="1" applyBorder="1" applyAlignment="1">
      <alignment horizontal="right" vertical="center"/>
    </xf>
    <xf numFmtId="170" fontId="13" fillId="0" borderId="19" xfId="1" applyNumberFormat="1" applyFont="1" applyFill="1" applyBorder="1" applyAlignment="1">
      <alignment horizontal="right" vertical="center"/>
    </xf>
    <xf numFmtId="170" fontId="75" fillId="0" borderId="15" xfId="1" applyNumberFormat="1" applyFont="1" applyFill="1" applyBorder="1" applyAlignment="1">
      <alignment horizontal="right" vertical="center"/>
    </xf>
    <xf numFmtId="0" fontId="0" fillId="10" borderId="24" xfId="0" applyFill="1" applyBorder="1"/>
    <xf numFmtId="0" fontId="70" fillId="10" borderId="20" xfId="0" applyFont="1" applyFill="1" applyBorder="1" applyAlignment="1">
      <alignment vertical="center"/>
    </xf>
    <xf numFmtId="168" fontId="47" fillId="16" borderId="19" xfId="1" applyNumberFormat="1" applyFont="1" applyFill="1" applyBorder="1" applyAlignment="1">
      <alignment horizontal="right" vertical="center"/>
    </xf>
    <xf numFmtId="43" fontId="46" fillId="16" borderId="19" xfId="1" applyFont="1" applyFill="1" applyBorder="1" applyAlignment="1">
      <alignment horizontal="right" vertical="center"/>
    </xf>
    <xf numFmtId="168" fontId="49" fillId="16" borderId="19" xfId="1" applyNumberFormat="1" applyFont="1" applyFill="1" applyBorder="1" applyAlignment="1">
      <alignment horizontal="right" vertical="center"/>
    </xf>
    <xf numFmtId="43" fontId="49" fillId="16" borderId="19" xfId="1" applyFont="1" applyFill="1" applyBorder="1" applyAlignment="1">
      <alignment horizontal="right" vertical="center"/>
    </xf>
    <xf numFmtId="10" fontId="49" fillId="16" borderId="19" xfId="2" applyNumberFormat="1" applyFont="1" applyFill="1" applyBorder="1" applyAlignment="1">
      <alignment horizontal="right" vertical="center"/>
    </xf>
    <xf numFmtId="10" fontId="49" fillId="16" borderId="15" xfId="2" applyNumberFormat="1" applyFont="1" applyFill="1" applyBorder="1" applyAlignment="1">
      <alignment horizontal="right" vertical="center"/>
    </xf>
    <xf numFmtId="168" fontId="49" fillId="16" borderId="18" xfId="1" applyNumberFormat="1" applyFont="1" applyFill="1" applyBorder="1" applyAlignment="1">
      <alignment horizontal="right" vertical="center"/>
    </xf>
    <xf numFmtId="168" fontId="49" fillId="16" borderId="58" xfId="1" applyNumberFormat="1" applyFont="1" applyFill="1" applyBorder="1" applyAlignment="1">
      <alignment horizontal="right" vertical="center"/>
    </xf>
    <xf numFmtId="0" fontId="47" fillId="16" borderId="59" xfId="0" applyFont="1" applyFill="1" applyBorder="1" applyAlignment="1">
      <alignment horizontal="right" vertical="center"/>
    </xf>
    <xf numFmtId="0" fontId="47" fillId="16" borderId="19" xfId="0" applyFont="1" applyFill="1" applyBorder="1" applyAlignment="1">
      <alignment horizontal="right" vertical="center"/>
    </xf>
    <xf numFmtId="10" fontId="47" fillId="16" borderId="15" xfId="2" applyNumberFormat="1" applyFont="1" applyFill="1" applyBorder="1" applyAlignment="1">
      <alignment horizontal="right" vertical="center"/>
    </xf>
    <xf numFmtId="0" fontId="45" fillId="10" borderId="20" xfId="0" applyFont="1" applyFill="1" applyBorder="1" applyAlignment="1">
      <alignment horizontal="center"/>
    </xf>
    <xf numFmtId="0" fontId="52" fillId="0" borderId="17" xfId="0" applyFont="1" applyFill="1" applyBorder="1"/>
    <xf numFmtId="0" fontId="70" fillId="10" borderId="20" xfId="0" applyFont="1" applyFill="1" applyBorder="1" applyAlignment="1">
      <alignment horizontal="center" vertical="center" wrapText="1"/>
    </xf>
    <xf numFmtId="0" fontId="52" fillId="0" borderId="22" xfId="0" applyFont="1" applyFill="1" applyBorder="1"/>
    <xf numFmtId="0" fontId="52" fillId="0" borderId="23" xfId="0" applyFont="1" applyFill="1" applyBorder="1"/>
    <xf numFmtId="0" fontId="74" fillId="17" borderId="16" xfId="0" applyFont="1" applyFill="1" applyBorder="1" applyAlignment="1">
      <alignment horizontal="right" vertical="center"/>
    </xf>
    <xf numFmtId="0" fontId="52" fillId="0" borderId="27" xfId="0" applyFont="1" applyFill="1" applyBorder="1"/>
    <xf numFmtId="0" fontId="70" fillId="10" borderId="60" xfId="0" applyFont="1" applyFill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0" fontId="70" fillId="10" borderId="61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170" fontId="0" fillId="0" borderId="18" xfId="1" applyNumberFormat="1" applyFont="1" applyBorder="1"/>
    <xf numFmtId="170" fontId="0" fillId="0" borderId="19" xfId="1" applyNumberFormat="1" applyFont="1" applyBorder="1"/>
    <xf numFmtId="170" fontId="0" fillId="0" borderId="15" xfId="1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0" fillId="0" borderId="15" xfId="0" applyBorder="1"/>
    <xf numFmtId="167" fontId="0" fillId="0" borderId="19" xfId="0" applyNumberFormat="1" applyBorder="1"/>
    <xf numFmtId="168" fontId="49" fillId="0" borderId="0" xfId="1" applyNumberFormat="1" applyFont="1" applyFill="1" applyBorder="1" applyAlignment="1">
      <alignment horizontal="right" vertical="center"/>
    </xf>
    <xf numFmtId="0" fontId="70" fillId="10" borderId="27" xfId="0" applyFont="1" applyFill="1" applyBorder="1" applyAlignment="1">
      <alignment horizontal="left" vertical="center" indent="1"/>
    </xf>
    <xf numFmtId="0" fontId="70" fillId="10" borderId="22" xfId="0" applyFont="1" applyFill="1" applyBorder="1" applyAlignment="1">
      <alignment horizontal="left" vertical="center" indent="1"/>
    </xf>
    <xf numFmtId="0" fontId="74" fillId="17" borderId="22" xfId="0" applyFont="1" applyFill="1" applyBorder="1" applyAlignment="1">
      <alignment horizontal="right" vertical="center"/>
    </xf>
    <xf numFmtId="0" fontId="74" fillId="17" borderId="23" xfId="0" applyFont="1" applyFill="1" applyBorder="1" applyAlignment="1">
      <alignment horizontal="right" vertical="center"/>
    </xf>
    <xf numFmtId="0" fontId="70" fillId="10" borderId="17" xfId="0" applyFont="1" applyFill="1" applyBorder="1" applyAlignment="1">
      <alignment horizontal="left" vertical="center" indent="1"/>
    </xf>
    <xf numFmtId="0" fontId="20" fillId="0" borderId="0" xfId="0" applyFont="1" applyFill="1" applyBorder="1" applyAlignment="1"/>
    <xf numFmtId="0" fontId="15" fillId="0" borderId="0" xfId="0" applyFont="1" applyFill="1" applyBorder="1" applyAlignment="1">
      <alignment horizontal="left" vertical="center" textRotation="90"/>
    </xf>
    <xf numFmtId="0" fontId="6" fillId="0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Alignment="1">
      <alignment horizontal="center"/>
    </xf>
    <xf numFmtId="0" fontId="1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vertical="center"/>
    </xf>
    <xf numFmtId="43" fontId="15" fillId="0" borderId="0" xfId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43" fontId="0" fillId="0" borderId="0" xfId="1" applyFont="1" applyFill="1"/>
    <xf numFmtId="43" fontId="0" fillId="0" borderId="0" xfId="1" applyFont="1" applyFill="1" applyAlignment="1">
      <alignment horizontal="center"/>
    </xf>
    <xf numFmtId="0" fontId="20" fillId="0" borderId="0" xfId="0" applyFont="1" applyFill="1" applyAlignment="1"/>
    <xf numFmtId="43" fontId="15" fillId="0" borderId="0" xfId="1" applyFont="1" applyFill="1" applyAlignment="1">
      <alignment horizontal="center"/>
    </xf>
    <xf numFmtId="0" fontId="79" fillId="0" borderId="0" xfId="0" applyFont="1" applyFill="1" applyAlignment="1"/>
    <xf numFmtId="0" fontId="0" fillId="0" borderId="22" xfId="0" applyFont="1" applyFill="1" applyBorder="1"/>
    <xf numFmtId="0" fontId="0" fillId="0" borderId="19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16" xfId="0" applyFont="1" applyFill="1" applyBorder="1"/>
    <xf numFmtId="49" fontId="0" fillId="0" borderId="16" xfId="0" applyNumberFormat="1" applyFont="1" applyFill="1" applyBorder="1"/>
    <xf numFmtId="14" fontId="0" fillId="0" borderId="16" xfId="0" applyNumberFormat="1" applyFont="1" applyFill="1" applyBorder="1" applyAlignment="1">
      <alignment horizontal="center" vertical="center"/>
    </xf>
    <xf numFmtId="168" fontId="0" fillId="0" borderId="16" xfId="1" applyNumberFormat="1" applyFont="1" applyFill="1" applyBorder="1"/>
    <xf numFmtId="166" fontId="0" fillId="0" borderId="16" xfId="1" applyNumberFormat="1" applyFont="1" applyFill="1" applyBorder="1" applyAlignment="1">
      <alignment horizontal="center"/>
    </xf>
    <xf numFmtId="168" fontId="0" fillId="0" borderId="16" xfId="1" applyNumberFormat="1" applyFont="1" applyFill="1" applyBorder="1" applyAlignment="1">
      <alignment horizontal="center"/>
    </xf>
    <xf numFmtId="9" fontId="0" fillId="0" borderId="16" xfId="2" applyFont="1" applyFill="1" applyBorder="1" applyAlignment="1">
      <alignment horizontal="center"/>
    </xf>
    <xf numFmtId="43" fontId="0" fillId="0" borderId="16" xfId="1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0" borderId="16" xfId="0" applyBorder="1"/>
    <xf numFmtId="167" fontId="0" fillId="0" borderId="15" xfId="0" applyNumberFormat="1" applyBorder="1"/>
    <xf numFmtId="0" fontId="0" fillId="0" borderId="63" xfId="0" applyBorder="1"/>
    <xf numFmtId="0" fontId="2" fillId="0" borderId="15" xfId="0" applyFont="1" applyBorder="1"/>
    <xf numFmtId="0" fontId="14" fillId="0" borderId="0" xfId="0" applyFont="1" applyFill="1" applyAlignment="1"/>
    <xf numFmtId="10" fontId="0" fillId="17" borderId="0" xfId="2" applyNumberFormat="1" applyFont="1" applyFill="1" applyBorder="1" applyAlignment="1">
      <alignment vertical="center"/>
    </xf>
    <xf numFmtId="170" fontId="47" fillId="17" borderId="0" xfId="0" applyNumberFormat="1" applyFont="1" applyFill="1" applyBorder="1" applyAlignment="1">
      <alignment horizontal="right" vertical="center"/>
    </xf>
    <xf numFmtId="0" fontId="6" fillId="17" borderId="17" xfId="0" applyFont="1" applyFill="1" applyBorder="1" applyAlignment="1">
      <alignment horizontal="center"/>
    </xf>
    <xf numFmtId="0" fontId="45" fillId="17" borderId="20" xfId="0" applyFont="1" applyFill="1" applyBorder="1" applyAlignment="1">
      <alignment horizontal="right" vertical="center"/>
    </xf>
    <xf numFmtId="0" fontId="6" fillId="17" borderId="22" xfId="0" applyFont="1" applyFill="1" applyBorder="1" applyAlignment="1">
      <alignment horizontal="center"/>
    </xf>
    <xf numFmtId="0" fontId="0" fillId="17" borderId="22" xfId="0" applyFont="1" applyFill="1" applyBorder="1"/>
    <xf numFmtId="0" fontId="50" fillId="17" borderId="0" xfId="0" applyFont="1" applyFill="1" applyBorder="1"/>
    <xf numFmtId="0" fontId="0" fillId="17" borderId="23" xfId="0" applyFont="1" applyFill="1" applyBorder="1"/>
    <xf numFmtId="0" fontId="0" fillId="17" borderId="32" xfId="0" applyFont="1" applyFill="1" applyBorder="1"/>
    <xf numFmtId="0" fontId="0" fillId="17" borderId="33" xfId="0" applyFont="1" applyFill="1" applyBorder="1"/>
    <xf numFmtId="9" fontId="0" fillId="17" borderId="32" xfId="2" applyFont="1" applyFill="1" applyBorder="1"/>
    <xf numFmtId="0" fontId="0" fillId="17" borderId="30" xfId="0" applyFont="1" applyFill="1" applyBorder="1"/>
    <xf numFmtId="0" fontId="0" fillId="17" borderId="31" xfId="0" applyFont="1" applyFill="1" applyBorder="1"/>
    <xf numFmtId="9" fontId="0" fillId="17" borderId="0" xfId="2" applyFont="1" applyFill="1" applyBorder="1"/>
    <xf numFmtId="0" fontId="0" fillId="17" borderId="30" xfId="0" applyFont="1" applyFill="1" applyBorder="1" applyAlignment="1">
      <alignment vertical="center"/>
    </xf>
    <xf numFmtId="0" fontId="0" fillId="17" borderId="31" xfId="0" applyFont="1" applyFill="1" applyBorder="1" applyAlignment="1">
      <alignment vertical="center"/>
    </xf>
    <xf numFmtId="0" fontId="74" fillId="17" borderId="0" xfId="0" applyFont="1" applyFill="1" applyBorder="1"/>
    <xf numFmtId="0" fontId="74" fillId="17" borderId="16" xfId="0" applyFont="1" applyFill="1" applyBorder="1"/>
    <xf numFmtId="9" fontId="47" fillId="16" borderId="19" xfId="2" applyFont="1" applyFill="1" applyBorder="1" applyAlignment="1">
      <alignment horizontal="right" vertical="center"/>
    </xf>
    <xf numFmtId="9" fontId="47" fillId="16" borderId="15" xfId="2" applyFont="1" applyFill="1" applyBorder="1" applyAlignment="1">
      <alignment horizontal="right" vertical="center"/>
    </xf>
    <xf numFmtId="0" fontId="70" fillId="10" borderId="34" xfId="0" applyFont="1" applyFill="1" applyBorder="1" applyAlignment="1">
      <alignment horizontal="right" vertical="center" wrapText="1" indent="2"/>
    </xf>
    <xf numFmtId="0" fontId="53" fillId="0" borderId="0" xfId="0" applyFont="1" applyFill="1" applyAlignment="1">
      <alignment horizontal="right" vertical="center" indent="2"/>
    </xf>
    <xf numFmtId="0" fontId="70" fillId="10" borderId="20" xfId="0" applyFont="1" applyFill="1" applyBorder="1" applyAlignment="1">
      <alignment horizontal="right" vertical="center" wrapText="1" indent="2"/>
    </xf>
    <xf numFmtId="0" fontId="46" fillId="17" borderId="20" xfId="0" applyFont="1" applyFill="1" applyBorder="1" applyAlignment="1">
      <alignment horizontal="right" vertical="center" indent="2"/>
    </xf>
    <xf numFmtId="0" fontId="46" fillId="17" borderId="0" xfId="0" applyFont="1" applyFill="1" applyBorder="1" applyAlignment="1">
      <alignment horizontal="right" vertical="center" indent="2"/>
    </xf>
    <xf numFmtId="0" fontId="46" fillId="17" borderId="16" xfId="0" applyFont="1" applyFill="1" applyBorder="1" applyAlignment="1">
      <alignment horizontal="right" vertical="center" indent="2"/>
    </xf>
    <xf numFmtId="0" fontId="70" fillId="10" borderId="20" xfId="0" applyFont="1" applyFill="1" applyBorder="1" applyAlignment="1">
      <alignment horizontal="right" vertical="center" indent="2"/>
    </xf>
    <xf numFmtId="0" fontId="74" fillId="17" borderId="0" xfId="0" applyFont="1" applyFill="1" applyBorder="1" applyAlignment="1">
      <alignment horizontal="right" vertical="center" indent="2"/>
    </xf>
    <xf numFmtId="0" fontId="74" fillId="17" borderId="16" xfId="0" applyFont="1" applyFill="1" applyBorder="1" applyAlignment="1">
      <alignment horizontal="right" vertical="center" indent="2"/>
    </xf>
    <xf numFmtId="0" fontId="70" fillId="10" borderId="0" xfId="0" applyFont="1" applyFill="1" applyBorder="1" applyAlignment="1">
      <alignment horizontal="right" vertical="center" indent="2"/>
    </xf>
    <xf numFmtId="0" fontId="6" fillId="10" borderId="20" xfId="0" applyFont="1" applyFill="1" applyBorder="1" applyAlignment="1">
      <alignment horizontal="right" vertical="center" indent="2"/>
    </xf>
    <xf numFmtId="17" fontId="0" fillId="17" borderId="0" xfId="0" applyNumberFormat="1" applyFill="1" applyBorder="1" applyAlignment="1">
      <alignment horizontal="right" vertical="center" indent="2"/>
    </xf>
    <xf numFmtId="0" fontId="47" fillId="17" borderId="0" xfId="0" applyFont="1" applyFill="1" applyBorder="1" applyAlignment="1">
      <alignment horizontal="right" vertical="center" indent="2"/>
    </xf>
    <xf numFmtId="0" fontId="47" fillId="17" borderId="16" xfId="0" applyFont="1" applyFill="1" applyBorder="1" applyAlignment="1">
      <alignment horizontal="right" vertical="center" indent="2"/>
    </xf>
    <xf numFmtId="0" fontId="47" fillId="0" borderId="0" xfId="0" applyFont="1" applyBorder="1" applyAlignment="1">
      <alignment horizontal="right" vertical="center" indent="2"/>
    </xf>
    <xf numFmtId="0" fontId="6" fillId="10" borderId="0" xfId="0" applyFont="1" applyFill="1" applyAlignment="1">
      <alignment horizontal="right" vertical="center" indent="2"/>
    </xf>
    <xf numFmtId="0" fontId="6" fillId="0" borderId="0" xfId="0" applyFont="1" applyFill="1" applyAlignment="1">
      <alignment horizontal="right" vertical="center" indent="2"/>
    </xf>
    <xf numFmtId="168" fontId="49" fillId="17" borderId="33" xfId="1" applyNumberFormat="1" applyFont="1" applyFill="1" applyBorder="1" applyAlignment="1">
      <alignment horizontal="right" vertical="center" indent="2"/>
    </xf>
    <xf numFmtId="168" fontId="49" fillId="17" borderId="0" xfId="1" applyNumberFormat="1" applyFont="1" applyFill="1" applyBorder="1" applyAlignment="1">
      <alignment horizontal="right" vertical="center" indent="2"/>
    </xf>
    <xf numFmtId="0" fontId="46" fillId="17" borderId="33" xfId="0" applyFont="1" applyFill="1" applyBorder="1" applyAlignment="1">
      <alignment horizontal="right" vertical="center" indent="2"/>
    </xf>
    <xf numFmtId="0" fontId="0" fillId="17" borderId="0" xfId="0" applyFont="1" applyFill="1" applyBorder="1" applyAlignment="1">
      <alignment horizontal="right" vertical="center" indent="2"/>
    </xf>
    <xf numFmtId="0" fontId="46" fillId="17" borderId="31" xfId="0" applyFont="1" applyFill="1" applyBorder="1" applyAlignment="1">
      <alignment horizontal="right" vertical="center" indent="2"/>
    </xf>
    <xf numFmtId="0" fontId="47" fillId="17" borderId="33" xfId="0" applyFont="1" applyFill="1" applyBorder="1" applyAlignment="1">
      <alignment horizontal="right" vertical="center" indent="2"/>
    </xf>
    <xf numFmtId="0" fontId="13" fillId="17" borderId="0" xfId="0" applyFont="1" applyFill="1" applyBorder="1" applyAlignment="1">
      <alignment horizontal="right" vertical="center" indent="2"/>
    </xf>
    <xf numFmtId="0" fontId="47" fillId="17" borderId="31" xfId="0" applyFont="1" applyFill="1" applyBorder="1" applyAlignment="1">
      <alignment horizontal="right" vertical="center" indent="2"/>
    </xf>
    <xf numFmtId="0" fontId="0" fillId="0" borderId="0" xfId="0" applyFont="1" applyFill="1" applyAlignment="1">
      <alignment horizontal="right" vertical="center" indent="2"/>
    </xf>
    <xf numFmtId="0" fontId="45" fillId="10" borderId="20" xfId="0" applyFont="1" applyFill="1" applyBorder="1" applyAlignment="1">
      <alignment horizontal="right" vertical="center" indent="2"/>
    </xf>
    <xf numFmtId="0" fontId="0" fillId="17" borderId="0" xfId="0" applyFont="1" applyFill="1" applyBorder="1" applyAlignment="1">
      <alignment horizontal="right" indent="2"/>
    </xf>
    <xf numFmtId="168" fontId="49" fillId="17" borderId="20" xfId="1" applyNumberFormat="1" applyFont="1" applyFill="1" applyBorder="1" applyAlignment="1">
      <alignment horizontal="right" vertical="center" indent="2"/>
    </xf>
    <xf numFmtId="43" fontId="49" fillId="17" borderId="0" xfId="1" applyFont="1" applyFill="1" applyBorder="1" applyAlignment="1">
      <alignment horizontal="right" vertical="center" indent="2"/>
    </xf>
    <xf numFmtId="43" fontId="49" fillId="17" borderId="16" xfId="1" applyFont="1" applyFill="1" applyBorder="1" applyAlignment="1">
      <alignment horizontal="right" vertical="center" indent="2"/>
    </xf>
    <xf numFmtId="0" fontId="25" fillId="0" borderId="0" xfId="0" applyFont="1" applyFill="1" applyBorder="1" applyAlignment="1">
      <alignment horizontal="right" vertical="center" indent="2"/>
    </xf>
    <xf numFmtId="168" fontId="47" fillId="17" borderId="0" xfId="1" applyNumberFormat="1" applyFont="1" applyFill="1" applyBorder="1" applyAlignment="1">
      <alignment horizontal="right" vertical="center" indent="2"/>
    </xf>
    <xf numFmtId="43" fontId="47" fillId="17" borderId="0" xfId="1" applyFont="1" applyFill="1" applyBorder="1" applyAlignment="1">
      <alignment horizontal="right" vertical="center" indent="2"/>
    </xf>
    <xf numFmtId="43" fontId="47" fillId="17" borderId="16" xfId="1" applyFont="1" applyFill="1" applyBorder="1" applyAlignment="1">
      <alignment horizontal="right" vertical="center" indent="2"/>
    </xf>
    <xf numFmtId="43" fontId="47" fillId="0" borderId="0" xfId="1" applyFont="1" applyFill="1" applyAlignment="1">
      <alignment horizontal="right" vertical="center" indent="2"/>
    </xf>
    <xf numFmtId="0" fontId="6" fillId="8" borderId="0" xfId="0" applyFont="1" applyFill="1" applyBorder="1" applyAlignment="1">
      <alignment horizontal="right" vertical="center" indent="2"/>
    </xf>
    <xf numFmtId="0" fontId="0" fillId="17" borderId="0" xfId="0" applyFill="1" applyBorder="1" applyAlignment="1">
      <alignment horizontal="right" vertical="center" indent="2"/>
    </xf>
    <xf numFmtId="0" fontId="0" fillId="17" borderId="0" xfId="0" applyFill="1" applyBorder="1" applyAlignment="1">
      <alignment horizontal="right" indent="2"/>
    </xf>
    <xf numFmtId="0" fontId="47" fillId="0" borderId="0" xfId="0" applyFont="1" applyFill="1" applyBorder="1" applyAlignment="1">
      <alignment horizontal="right" vertical="center" indent="2"/>
    </xf>
    <xf numFmtId="0" fontId="0" fillId="0" borderId="0" xfId="0" applyAlignment="1">
      <alignment horizontal="right" vertical="center" indent="2"/>
    </xf>
    <xf numFmtId="0" fontId="0" fillId="17" borderId="16" xfId="0" applyFill="1" applyBorder="1" applyAlignment="1">
      <alignment horizontal="right" vertical="center" indent="2"/>
    </xf>
    <xf numFmtId="0" fontId="50" fillId="0" borderId="0" xfId="0" applyFont="1" applyFill="1" applyAlignment="1">
      <alignment horizontal="right" vertical="center" indent="2"/>
    </xf>
    <xf numFmtId="0" fontId="55" fillId="0" borderId="0" xfId="0" applyFont="1" applyFill="1" applyAlignment="1">
      <alignment horizontal="right" vertical="center" indent="2"/>
    </xf>
    <xf numFmtId="0" fontId="0" fillId="0" borderId="0" xfId="0" applyBorder="1" applyAlignment="1">
      <alignment horizontal="right" vertical="center" indent="2"/>
    </xf>
    <xf numFmtId="168" fontId="72" fillId="17" borderId="34" xfId="1" applyNumberFormat="1" applyFont="1" applyFill="1" applyBorder="1" applyAlignment="1">
      <alignment horizontal="right" vertical="center" indent="2"/>
    </xf>
    <xf numFmtId="0" fontId="0" fillId="0" borderId="20" xfId="0" applyBorder="1" applyAlignment="1">
      <alignment horizontal="right" vertical="center" indent="2"/>
    </xf>
    <xf numFmtId="0" fontId="49" fillId="0" borderId="34" xfId="0" applyFont="1" applyFill="1" applyBorder="1" applyAlignment="1">
      <alignment horizontal="right" vertical="center" indent="2"/>
    </xf>
    <xf numFmtId="0" fontId="50" fillId="17" borderId="0" xfId="0" applyFont="1" applyFill="1" applyBorder="1" applyAlignment="1">
      <alignment horizontal="right" vertical="center" indent="2"/>
    </xf>
    <xf numFmtId="0" fontId="22" fillId="17" borderId="0" xfId="0" applyFont="1" applyFill="1" applyBorder="1" applyAlignment="1">
      <alignment horizontal="right" vertical="center" indent="2"/>
    </xf>
    <xf numFmtId="0" fontId="50" fillId="17" borderId="16" xfId="0" applyFont="1" applyFill="1" applyBorder="1" applyAlignment="1">
      <alignment horizontal="right" vertical="center" indent="2"/>
    </xf>
    <xf numFmtId="0" fontId="29" fillId="0" borderId="0" xfId="0" applyFont="1" applyAlignment="1">
      <alignment horizontal="right" vertical="center" indent="2"/>
    </xf>
    <xf numFmtId="0" fontId="49" fillId="0" borderId="34" xfId="0" applyFont="1" applyBorder="1" applyAlignment="1">
      <alignment horizontal="right" vertical="center" indent="2"/>
    </xf>
    <xf numFmtId="0" fontId="24" fillId="17" borderId="0" xfId="0" applyFont="1" applyFill="1" applyBorder="1" applyAlignment="1">
      <alignment horizontal="right" vertical="center" indent="2"/>
    </xf>
    <xf numFmtId="0" fontId="2" fillId="17" borderId="0" xfId="0" applyFont="1" applyFill="1" applyBorder="1" applyAlignment="1">
      <alignment horizontal="right" vertical="center" indent="2"/>
    </xf>
    <xf numFmtId="0" fontId="49" fillId="16" borderId="34" xfId="0" applyFont="1" applyFill="1" applyBorder="1" applyAlignment="1">
      <alignment horizontal="right" vertical="center" indent="2"/>
    </xf>
    <xf numFmtId="10" fontId="0" fillId="17" borderId="16" xfId="2" applyNumberFormat="1" applyFont="1" applyFill="1" applyBorder="1"/>
    <xf numFmtId="0" fontId="13" fillId="17" borderId="16" xfId="0" applyFont="1" applyFill="1" applyBorder="1" applyAlignment="1">
      <alignment horizontal="right" vertical="center" indent="2"/>
    </xf>
    <xf numFmtId="43" fontId="0" fillId="17" borderId="64" xfId="1" applyFont="1" applyFill="1" applyBorder="1"/>
    <xf numFmtId="9" fontId="0" fillId="17" borderId="65" xfId="2" applyFont="1" applyFill="1" applyBorder="1"/>
    <xf numFmtId="0" fontId="0" fillId="17" borderId="66" xfId="0" applyFont="1" applyFill="1" applyBorder="1"/>
    <xf numFmtId="0" fontId="0" fillId="17" borderId="66" xfId="0" applyFont="1" applyFill="1" applyBorder="1" applyAlignment="1">
      <alignment horizontal="right" vertical="center" indent="2"/>
    </xf>
    <xf numFmtId="0" fontId="0" fillId="17" borderId="64" xfId="0" applyFont="1" applyFill="1" applyBorder="1"/>
    <xf numFmtId="0" fontId="0" fillId="17" borderId="65" xfId="0" applyFont="1" applyFill="1" applyBorder="1"/>
    <xf numFmtId="0" fontId="19" fillId="17" borderId="66" xfId="0" applyFont="1" applyFill="1" applyBorder="1"/>
    <xf numFmtId="0" fontId="13" fillId="17" borderId="66" xfId="0" applyFont="1" applyFill="1" applyBorder="1" applyAlignment="1">
      <alignment horizontal="right" indent="2"/>
    </xf>
    <xf numFmtId="0" fontId="81" fillId="0" borderId="0" xfId="0" applyFont="1" applyFill="1"/>
    <xf numFmtId="0" fontId="73" fillId="17" borderId="0" xfId="0" applyFont="1" applyFill="1" applyBorder="1"/>
    <xf numFmtId="0" fontId="49" fillId="17" borderId="0" xfId="0" applyFont="1" applyFill="1" applyBorder="1" applyAlignment="1">
      <alignment horizontal="right" vertical="center" indent="2"/>
    </xf>
    <xf numFmtId="0" fontId="73" fillId="17" borderId="71" xfId="0" applyFont="1" applyFill="1" applyBorder="1"/>
    <xf numFmtId="0" fontId="73" fillId="17" borderId="72" xfId="0" applyFont="1" applyFill="1" applyBorder="1"/>
    <xf numFmtId="0" fontId="49" fillId="17" borderId="72" xfId="0" applyFont="1" applyFill="1" applyBorder="1" applyAlignment="1">
      <alignment horizontal="right" vertical="center" indent="2"/>
    </xf>
    <xf numFmtId="0" fontId="73" fillId="17" borderId="64" xfId="0" applyFont="1" applyFill="1" applyBorder="1"/>
    <xf numFmtId="0" fontId="0" fillId="17" borderId="64" xfId="0" applyFill="1" applyBorder="1"/>
    <xf numFmtId="0" fontId="0" fillId="17" borderId="75" xfId="0" applyFill="1" applyBorder="1"/>
    <xf numFmtId="0" fontId="0" fillId="17" borderId="76" xfId="0" applyFill="1" applyBorder="1" applyAlignment="1">
      <alignment horizontal="right" vertical="center"/>
    </xf>
    <xf numFmtId="0" fontId="47" fillId="17" borderId="76" xfId="0" applyFont="1" applyFill="1" applyBorder="1" applyAlignment="1">
      <alignment horizontal="right" vertical="center" indent="2"/>
    </xf>
    <xf numFmtId="10" fontId="0" fillId="16" borderId="0" xfId="2" applyNumberFormat="1" applyFont="1" applyFill="1" applyBorder="1" applyAlignment="1">
      <alignment horizontal="center"/>
    </xf>
    <xf numFmtId="10" fontId="0" fillId="16" borderId="16" xfId="2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vertical="center" wrapText="1"/>
    </xf>
    <xf numFmtId="0" fontId="68" fillId="0" borderId="0" xfId="0" applyFont="1" applyAlignment="1">
      <alignment vertical="center" wrapText="1"/>
    </xf>
    <xf numFmtId="0" fontId="64" fillId="0" borderId="22" xfId="12" applyFont="1" applyFill="1" applyBorder="1" applyAlignment="1">
      <alignment vertical="center"/>
    </xf>
    <xf numFmtId="0" fontId="64" fillId="0" borderId="0" xfId="0" applyFont="1" applyFill="1" applyBorder="1" applyAlignment="1">
      <alignment horizontal="right" vertical="center"/>
    </xf>
    <xf numFmtId="0" fontId="50" fillId="0" borderId="0" xfId="12" applyFont="1" applyFill="1" applyBorder="1" applyAlignment="1">
      <alignment horizontal="center" vertical="center"/>
    </xf>
    <xf numFmtId="168" fontId="64" fillId="0" borderId="0" xfId="0" applyNumberFormat="1" applyFont="1" applyFill="1" applyBorder="1"/>
    <xf numFmtId="186" fontId="64" fillId="19" borderId="0" xfId="11" applyNumberFormat="1" applyFont="1" applyFill="1" applyBorder="1"/>
    <xf numFmtId="165" fontId="64" fillId="0" borderId="19" xfId="0" applyNumberFormat="1" applyFont="1" applyFill="1" applyBorder="1"/>
    <xf numFmtId="0" fontId="0" fillId="0" borderId="0" xfId="0" applyFont="1" applyAlignment="1">
      <alignment horizontal="center" vertical="center"/>
    </xf>
    <xf numFmtId="168" fontId="64" fillId="0" borderId="0" xfId="0" applyNumberFormat="1" applyFont="1" applyFill="1" applyBorder="1" applyAlignment="1">
      <alignment horizontal="center" vertical="center"/>
    </xf>
    <xf numFmtId="0" fontId="70" fillId="6" borderId="78" xfId="0" applyFont="1" applyFill="1" applyBorder="1" applyAlignment="1">
      <alignment vertical="center" wrapText="1"/>
    </xf>
    <xf numFmtId="0" fontId="70" fillId="6" borderId="79" xfId="0" applyFont="1" applyFill="1" applyBorder="1" applyAlignment="1">
      <alignment vertical="center" wrapText="1"/>
    </xf>
    <xf numFmtId="43" fontId="70" fillId="6" borderId="79" xfId="1" applyFont="1" applyFill="1" applyBorder="1" applyAlignment="1">
      <alignment horizontal="center" vertical="center" wrapText="1"/>
    </xf>
    <xf numFmtId="43" fontId="82" fillId="18" borderId="79" xfId="1" applyFont="1" applyFill="1" applyBorder="1" applyAlignment="1">
      <alignment horizontal="center" vertical="center" wrapText="1"/>
    </xf>
    <xf numFmtId="0" fontId="82" fillId="18" borderId="79" xfId="0" applyFont="1" applyFill="1" applyBorder="1" applyAlignment="1">
      <alignment horizontal="center" vertical="center" wrapText="1"/>
    </xf>
    <xf numFmtId="0" fontId="70" fillId="6" borderId="80" xfId="0" applyFont="1" applyFill="1" applyBorder="1" applyAlignment="1">
      <alignment horizontal="center" vertical="center" wrapText="1"/>
    </xf>
    <xf numFmtId="0" fontId="82" fillId="20" borderId="76" xfId="0" applyFont="1" applyFill="1" applyBorder="1" applyAlignment="1">
      <alignment vertical="center" wrapText="1"/>
    </xf>
    <xf numFmtId="43" fontId="82" fillId="20" borderId="76" xfId="1" applyFont="1" applyFill="1" applyBorder="1" applyAlignment="1">
      <alignment horizontal="center" vertical="center" wrapText="1"/>
    </xf>
    <xf numFmtId="0" fontId="82" fillId="20" borderId="77" xfId="0" applyFont="1" applyFill="1" applyBorder="1" applyAlignment="1">
      <alignment horizontal="center" vertical="center" wrapText="1"/>
    </xf>
    <xf numFmtId="0" fontId="82" fillId="17" borderId="79" xfId="0" applyFont="1" applyFill="1" applyBorder="1" applyAlignment="1">
      <alignment horizontal="center" vertical="center" wrapText="1"/>
    </xf>
    <xf numFmtId="0" fontId="70" fillId="6" borderId="79" xfId="0" applyFont="1" applyFill="1" applyBorder="1" applyAlignment="1">
      <alignment horizontal="center" vertical="center" wrapText="1"/>
    </xf>
    <xf numFmtId="0" fontId="70" fillId="6" borderId="73" xfId="0" applyFont="1" applyFill="1" applyBorder="1" applyAlignment="1">
      <alignment horizontal="center" vertical="center" wrapText="1"/>
    </xf>
    <xf numFmtId="43" fontId="82" fillId="20" borderId="77" xfId="1" applyFont="1" applyFill="1" applyBorder="1" applyAlignment="1">
      <alignment horizontal="center" vertical="center" wrapText="1"/>
    </xf>
    <xf numFmtId="10" fontId="50" fillId="16" borderId="19" xfId="2" applyNumberFormat="1" applyFont="1" applyFill="1" applyBorder="1" applyAlignment="1">
      <alignment horizontal="right" vertical="center" wrapText="1" indent="1"/>
    </xf>
    <xf numFmtId="10" fontId="50" fillId="16" borderId="15" xfId="2" applyNumberFormat="1" applyFont="1" applyFill="1" applyBorder="1" applyAlignment="1">
      <alignment horizontal="right" vertical="center" wrapText="1" indent="1"/>
    </xf>
    <xf numFmtId="0" fontId="78" fillId="0" borderId="50" xfId="0" applyFont="1" applyFill="1" applyBorder="1" applyAlignment="1">
      <alignment horizontal="right" vertical="center"/>
    </xf>
    <xf numFmtId="0" fontId="52" fillId="0" borderId="0" xfId="0" applyFont="1" applyFill="1" applyAlignment="1">
      <alignment horizontal="right" vertical="center"/>
    </xf>
    <xf numFmtId="0" fontId="71" fillId="0" borderId="18" xfId="0" applyFont="1" applyFill="1" applyBorder="1" applyAlignment="1">
      <alignment horizontal="right" vertical="center" wrapText="1"/>
    </xf>
    <xf numFmtId="10" fontId="0" fillId="16" borderId="18" xfId="2" applyNumberFormat="1" applyFont="1" applyFill="1" applyBorder="1" applyAlignment="1">
      <alignment horizontal="right"/>
    </xf>
    <xf numFmtId="170" fontId="13" fillId="16" borderId="19" xfId="1" applyNumberFormat="1" applyFont="1" applyFill="1" applyBorder="1" applyAlignment="1">
      <alignment horizontal="right"/>
    </xf>
    <xf numFmtId="168" fontId="0" fillId="16" borderId="19" xfId="1" applyNumberFormat="1" applyFont="1" applyFill="1" applyBorder="1" applyAlignment="1">
      <alignment horizontal="right"/>
    </xf>
    <xf numFmtId="170" fontId="0" fillId="16" borderId="19" xfId="1" applyNumberFormat="1" applyFont="1" applyFill="1" applyBorder="1" applyAlignment="1">
      <alignment horizontal="right"/>
    </xf>
    <xf numFmtId="14" fontId="0" fillId="16" borderId="19" xfId="0" applyNumberFormat="1" applyFill="1" applyBorder="1" applyAlignment="1">
      <alignment horizontal="right"/>
    </xf>
    <xf numFmtId="9" fontId="0" fillId="16" borderId="15" xfId="2" applyFont="1" applyFill="1" applyBorder="1" applyAlignment="1">
      <alignment horizontal="right"/>
    </xf>
    <xf numFmtId="0" fontId="71" fillId="0" borderId="51" xfId="0" applyFont="1" applyFill="1" applyBorder="1" applyAlignment="1">
      <alignment horizontal="right" vertical="center" wrapText="1"/>
    </xf>
    <xf numFmtId="0" fontId="71" fillId="16" borderId="18" xfId="0" applyFont="1" applyFill="1" applyBorder="1" applyAlignment="1">
      <alignment horizontal="right" vertical="center" wrapText="1"/>
    </xf>
    <xf numFmtId="168" fontId="1" fillId="16" borderId="19" xfId="1" applyNumberFormat="1" applyFont="1" applyFill="1" applyBorder="1" applyAlignment="1">
      <alignment horizontal="right" vertical="center" wrapText="1"/>
    </xf>
    <xf numFmtId="168" fontId="0" fillId="0" borderId="0" xfId="1" applyNumberFormat="1" applyFont="1" applyFill="1" applyAlignment="1">
      <alignment horizontal="right"/>
    </xf>
    <xf numFmtId="0" fontId="12" fillId="10" borderId="18" xfId="0" applyFont="1" applyFill="1" applyBorder="1" applyAlignment="1">
      <alignment horizontal="right" vertical="center"/>
    </xf>
    <xf numFmtId="0" fontId="71" fillId="0" borderId="53" xfId="0" applyFont="1" applyFill="1" applyBorder="1" applyAlignment="1">
      <alignment horizontal="right" vertical="center" wrapText="1"/>
    </xf>
    <xf numFmtId="168" fontId="71" fillId="16" borderId="53" xfId="1" applyNumberFormat="1" applyFont="1" applyFill="1" applyBorder="1" applyAlignment="1">
      <alignment horizontal="right" vertical="center" wrapText="1"/>
    </xf>
    <xf numFmtId="3" fontId="47" fillId="16" borderId="19" xfId="0" applyNumberFormat="1" applyFont="1" applyFill="1" applyBorder="1" applyAlignment="1">
      <alignment horizontal="right"/>
    </xf>
    <xf numFmtId="3" fontId="47" fillId="16" borderId="15" xfId="0" applyNumberFormat="1" applyFont="1" applyFill="1" applyBorder="1" applyAlignment="1">
      <alignment horizontal="right"/>
    </xf>
    <xf numFmtId="9" fontId="47" fillId="0" borderId="0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2" fillId="10" borderId="0" xfId="0" applyFont="1" applyFill="1" applyAlignment="1">
      <alignment horizontal="right" vertical="center"/>
    </xf>
    <xf numFmtId="0" fontId="0" fillId="16" borderId="58" xfId="0" applyFont="1" applyFill="1" applyBorder="1" applyAlignment="1">
      <alignment horizontal="right"/>
    </xf>
    <xf numFmtId="165" fontId="47" fillId="16" borderId="58" xfId="1" applyNumberFormat="1" applyFont="1" applyFill="1" applyBorder="1" applyAlignment="1">
      <alignment horizontal="right"/>
    </xf>
    <xf numFmtId="168" fontId="47" fillId="16" borderId="59" xfId="1" applyNumberFormat="1" applyFont="1" applyFill="1" applyBorder="1" applyAlignment="1">
      <alignment horizontal="right" vertical="center"/>
    </xf>
    <xf numFmtId="168" fontId="47" fillId="16" borderId="19" xfId="1" applyNumberFormat="1" applyFont="1" applyFill="1" applyBorder="1" applyAlignment="1">
      <alignment horizontal="right"/>
    </xf>
    <xf numFmtId="10" fontId="47" fillId="16" borderId="15" xfId="2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48" fillId="10" borderId="18" xfId="0" applyFont="1" applyFill="1" applyBorder="1" applyAlignment="1">
      <alignment horizontal="right" vertical="center"/>
    </xf>
    <xf numFmtId="168" fontId="0" fillId="16" borderId="58" xfId="1" applyNumberFormat="1" applyFont="1" applyFill="1" applyBorder="1" applyAlignment="1">
      <alignment horizontal="right"/>
    </xf>
    <xf numFmtId="168" fontId="0" fillId="17" borderId="59" xfId="1" applyNumberFormat="1" applyFont="1" applyFill="1" applyBorder="1" applyAlignment="1">
      <alignment horizontal="right"/>
    </xf>
    <xf numFmtId="180" fontId="47" fillId="16" borderId="58" xfId="1" applyNumberFormat="1" applyFont="1" applyFill="1" applyBorder="1" applyAlignment="1">
      <alignment horizontal="right"/>
    </xf>
    <xf numFmtId="0" fontId="6" fillId="8" borderId="19" xfId="0" applyFont="1" applyFill="1" applyBorder="1" applyAlignment="1">
      <alignment horizontal="right" vertical="center"/>
    </xf>
    <xf numFmtId="43" fontId="46" fillId="16" borderId="15" xfId="1" applyFont="1" applyFill="1" applyBorder="1" applyAlignment="1">
      <alignment horizontal="right" vertical="center"/>
    </xf>
    <xf numFmtId="0" fontId="71" fillId="0" borderId="57" xfId="0" applyFont="1" applyFill="1" applyBorder="1" applyAlignment="1">
      <alignment horizontal="right" vertical="center" wrapText="1"/>
    </xf>
    <xf numFmtId="43" fontId="49" fillId="16" borderId="73" xfId="1" applyNumberFormat="1" applyFont="1" applyFill="1" applyBorder="1" applyAlignment="1">
      <alignment horizontal="right"/>
    </xf>
    <xf numFmtId="43" fontId="49" fillId="16" borderId="74" xfId="1" applyNumberFormat="1" applyFont="1" applyFill="1" applyBorder="1" applyAlignment="1">
      <alignment horizontal="right"/>
    </xf>
    <xf numFmtId="10" fontId="46" fillId="16" borderId="74" xfId="2" applyNumberFormat="1" applyFont="1" applyFill="1" applyBorder="1" applyAlignment="1">
      <alignment horizontal="right" vertical="center"/>
    </xf>
    <xf numFmtId="43" fontId="46" fillId="16" borderId="74" xfId="1" applyNumberFormat="1" applyFont="1" applyFill="1" applyBorder="1" applyAlignment="1">
      <alignment horizontal="right" vertical="center"/>
    </xf>
    <xf numFmtId="43" fontId="46" fillId="16" borderId="74" xfId="1" applyFont="1" applyFill="1" applyBorder="1" applyAlignment="1">
      <alignment horizontal="right" vertical="center"/>
    </xf>
    <xf numFmtId="43" fontId="46" fillId="16" borderId="77" xfId="1" applyFont="1" applyFill="1" applyBorder="1" applyAlignment="1">
      <alignment horizontal="right" vertical="center"/>
    </xf>
    <xf numFmtId="43" fontId="46" fillId="0" borderId="0" xfId="1" applyFont="1" applyFill="1" applyBorder="1" applyAlignment="1">
      <alignment horizontal="right" vertical="center"/>
    </xf>
    <xf numFmtId="165" fontId="0" fillId="0" borderId="0" xfId="1" applyNumberFormat="1" applyFont="1" applyAlignment="1">
      <alignment horizontal="right"/>
    </xf>
    <xf numFmtId="10" fontId="0" fillId="16" borderId="19" xfId="2" applyNumberFormat="1" applyFont="1" applyFill="1" applyBorder="1" applyAlignment="1">
      <alignment horizontal="right" vertical="center"/>
    </xf>
    <xf numFmtId="10" fontId="0" fillId="16" borderId="15" xfId="2" applyNumberFormat="1" applyFont="1" applyFill="1" applyBorder="1" applyAlignment="1">
      <alignment horizontal="right" vertical="center"/>
    </xf>
    <xf numFmtId="0" fontId="50" fillId="0" borderId="0" xfId="0" applyFont="1" applyFill="1" applyAlignment="1">
      <alignment horizontal="right"/>
    </xf>
    <xf numFmtId="0" fontId="55" fillId="0" borderId="0" xfId="0" applyFont="1" applyFill="1" applyAlignment="1">
      <alignment horizontal="right"/>
    </xf>
    <xf numFmtId="0" fontId="18" fillId="0" borderId="19" xfId="0" applyFont="1" applyBorder="1" applyAlignment="1">
      <alignment horizontal="right"/>
    </xf>
    <xf numFmtId="180" fontId="0" fillId="16" borderId="19" xfId="1" applyNumberFormat="1" applyFont="1" applyFill="1" applyBorder="1" applyAlignment="1">
      <alignment horizontal="right"/>
    </xf>
    <xf numFmtId="168" fontId="72" fillId="16" borderId="51" xfId="1" applyNumberFormat="1" applyFont="1" applyFill="1" applyBorder="1" applyAlignment="1">
      <alignment horizontal="right"/>
    </xf>
    <xf numFmtId="168" fontId="0" fillId="16" borderId="15" xfId="1" applyNumberFormat="1" applyFont="1" applyFill="1" applyBorder="1" applyAlignment="1">
      <alignment horizontal="right"/>
    </xf>
    <xf numFmtId="0" fontId="12" fillId="10" borderId="20" xfId="0" applyFont="1" applyFill="1" applyBorder="1" applyAlignment="1">
      <alignment horizontal="right" vertical="center"/>
    </xf>
    <xf numFmtId="168" fontId="0" fillId="0" borderId="20" xfId="1" applyNumberFormat="1" applyFont="1" applyBorder="1" applyAlignment="1">
      <alignment horizontal="right"/>
    </xf>
    <xf numFmtId="168" fontId="49" fillId="16" borderId="34" xfId="1" applyNumberFormat="1" applyFont="1" applyFill="1" applyBorder="1" applyAlignment="1">
      <alignment horizontal="right"/>
    </xf>
    <xf numFmtId="168" fontId="50" fillId="16" borderId="0" xfId="1" applyNumberFormat="1" applyFont="1" applyFill="1" applyBorder="1" applyAlignment="1">
      <alignment horizontal="right"/>
    </xf>
    <xf numFmtId="43" fontId="50" fillId="16" borderId="0" xfId="1" applyNumberFormat="1" applyFont="1" applyFill="1" applyBorder="1" applyAlignment="1">
      <alignment horizontal="right"/>
    </xf>
    <xf numFmtId="0" fontId="18" fillId="16" borderId="0" xfId="0" applyFont="1" applyFill="1" applyBorder="1" applyAlignment="1">
      <alignment horizontal="right"/>
    </xf>
    <xf numFmtId="168" fontId="50" fillId="16" borderId="16" xfId="1" applyNumberFormat="1" applyFont="1" applyFill="1" applyBorder="1" applyAlignment="1">
      <alignment horizontal="right"/>
    </xf>
    <xf numFmtId="0" fontId="18" fillId="0" borderId="19" xfId="0" applyFont="1" applyBorder="1" applyAlignment="1">
      <alignment horizontal="right" vertical="center"/>
    </xf>
    <xf numFmtId="168" fontId="49" fillId="16" borderId="51" xfId="1" applyNumberFormat="1" applyFont="1" applyFill="1" applyBorder="1" applyAlignment="1">
      <alignment horizontal="right"/>
    </xf>
    <xf numFmtId="3" fontId="0" fillId="16" borderId="19" xfId="1" applyNumberFormat="1" applyFont="1" applyFill="1" applyBorder="1" applyAlignment="1">
      <alignment horizontal="right" vertical="center"/>
    </xf>
    <xf numFmtId="3" fontId="0" fillId="16" borderId="19" xfId="0" applyNumberFormat="1" applyFont="1" applyFill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168" fontId="0" fillId="16" borderId="19" xfId="1" applyNumberFormat="1" applyFont="1" applyFill="1" applyBorder="1" applyAlignment="1">
      <alignment horizontal="right" vertical="center"/>
    </xf>
    <xf numFmtId="168" fontId="49" fillId="0" borderId="51" xfId="1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2" fillId="0" borderId="19" xfId="0" applyFont="1" applyBorder="1" applyAlignment="1">
      <alignment horizontal="right"/>
    </xf>
    <xf numFmtId="168" fontId="49" fillId="16" borderId="51" xfId="1" applyNumberFormat="1" applyFont="1" applyFill="1" applyBorder="1" applyAlignment="1">
      <alignment horizontal="right" vertical="center"/>
    </xf>
    <xf numFmtId="3" fontId="0" fillId="16" borderId="19" xfId="0" applyNumberFormat="1" applyFill="1" applyBorder="1" applyAlignment="1">
      <alignment horizontal="right"/>
    </xf>
    <xf numFmtId="43" fontId="0" fillId="16" borderId="19" xfId="0" applyNumberFormat="1" applyFill="1" applyBorder="1" applyAlignment="1">
      <alignment horizontal="right"/>
    </xf>
    <xf numFmtId="43" fontId="0" fillId="16" borderId="15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168" fontId="0" fillId="16" borderId="19" xfId="0" applyNumberFormat="1" applyFill="1" applyBorder="1" applyAlignment="1">
      <alignment horizontal="right"/>
    </xf>
    <xf numFmtId="43" fontId="0" fillId="16" borderId="19" xfId="1" applyFont="1" applyFill="1" applyBorder="1" applyAlignment="1">
      <alignment horizontal="right"/>
    </xf>
    <xf numFmtId="43" fontId="2" fillId="16" borderId="19" xfId="1" applyFont="1" applyFill="1" applyBorder="1" applyAlignment="1">
      <alignment horizontal="right"/>
    </xf>
    <xf numFmtId="170" fontId="49" fillId="16" borderId="51" xfId="1" applyNumberFormat="1" applyFont="1" applyFill="1" applyBorder="1" applyAlignment="1">
      <alignment horizontal="right" vertical="center"/>
    </xf>
    <xf numFmtId="0" fontId="45" fillId="10" borderId="18" xfId="0" applyFont="1" applyFill="1" applyBorder="1" applyAlignment="1">
      <alignment vertical="center"/>
    </xf>
    <xf numFmtId="0" fontId="74" fillId="0" borderId="0" xfId="0" applyFont="1" applyFill="1"/>
    <xf numFmtId="168" fontId="1" fillId="9" borderId="19" xfId="1" applyNumberFormat="1" applyFont="1" applyFill="1" applyBorder="1" applyAlignment="1">
      <alignment horizontal="right" vertical="center" wrapText="1"/>
    </xf>
    <xf numFmtId="168" fontId="50" fillId="9" borderId="19" xfId="1" applyNumberFormat="1" applyFont="1" applyFill="1" applyBorder="1" applyAlignment="1">
      <alignment horizontal="right" vertical="center" wrapText="1" indent="1"/>
    </xf>
    <xf numFmtId="168" fontId="50" fillId="9" borderId="15" xfId="1" applyNumberFormat="1" applyFont="1" applyFill="1" applyBorder="1" applyAlignment="1">
      <alignment horizontal="right" vertical="center" wrapText="1" indent="1"/>
    </xf>
    <xf numFmtId="168" fontId="49" fillId="9" borderId="19" xfId="1" applyNumberFormat="1" applyFont="1" applyFill="1" applyBorder="1" applyAlignment="1">
      <alignment horizontal="right" vertical="center"/>
    </xf>
    <xf numFmtId="168" fontId="47" fillId="9" borderId="19" xfId="1" applyNumberFormat="1" applyFont="1" applyFill="1" applyBorder="1" applyAlignment="1">
      <alignment horizontal="right" vertical="center"/>
    </xf>
    <xf numFmtId="165" fontId="47" fillId="16" borderId="19" xfId="1" applyNumberFormat="1" applyFont="1" applyFill="1" applyBorder="1" applyAlignment="1">
      <alignment horizontal="right" vertical="center"/>
    </xf>
    <xf numFmtId="168" fontId="13" fillId="9" borderId="19" xfId="1" applyNumberFormat="1" applyFont="1" applyFill="1" applyBorder="1" applyAlignment="1">
      <alignment horizontal="right"/>
    </xf>
    <xf numFmtId="168" fontId="0" fillId="9" borderId="19" xfId="1" applyNumberFormat="1" applyFont="1" applyFill="1" applyBorder="1" applyAlignment="1">
      <alignment horizontal="right"/>
    </xf>
    <xf numFmtId="0" fontId="0" fillId="9" borderId="19" xfId="0" applyFont="1" applyFill="1" applyBorder="1" applyAlignment="1">
      <alignment horizontal="right"/>
    </xf>
    <xf numFmtId="168" fontId="13" fillId="9" borderId="15" xfId="1" applyNumberFormat="1" applyFont="1" applyFill="1" applyBorder="1" applyAlignment="1">
      <alignment horizontal="right"/>
    </xf>
    <xf numFmtId="168" fontId="13" fillId="9" borderId="67" xfId="1" applyNumberFormat="1" applyFont="1" applyFill="1" applyBorder="1" applyAlignment="1">
      <alignment horizontal="right"/>
    </xf>
    <xf numFmtId="168" fontId="0" fillId="9" borderId="19" xfId="1" applyNumberFormat="1" applyFont="1" applyFill="1" applyBorder="1" applyAlignment="1">
      <alignment horizontal="right" vertical="center"/>
    </xf>
    <xf numFmtId="0" fontId="18" fillId="9" borderId="19" xfId="0" applyFont="1" applyFill="1" applyBorder="1" applyAlignment="1">
      <alignment horizontal="right" vertical="center"/>
    </xf>
    <xf numFmtId="180" fontId="50" fillId="16" borderId="0" xfId="1" applyNumberFormat="1" applyFont="1" applyFill="1" applyBorder="1" applyAlignment="1">
      <alignment horizontal="right"/>
    </xf>
    <xf numFmtId="0" fontId="0" fillId="9" borderId="22" xfId="0" applyFont="1" applyFill="1" applyBorder="1"/>
    <xf numFmtId="0" fontId="0" fillId="9" borderId="0" xfId="0" applyFont="1" applyFill="1" applyBorder="1"/>
    <xf numFmtId="49" fontId="0" fillId="9" borderId="0" xfId="0" applyNumberFormat="1" applyFont="1" applyFill="1" applyBorder="1"/>
    <xf numFmtId="14" fontId="0" fillId="9" borderId="0" xfId="0" applyNumberFormat="1" applyFont="1" applyFill="1" applyBorder="1" applyAlignment="1">
      <alignment horizontal="center" vertical="center"/>
    </xf>
    <xf numFmtId="168" fontId="0" fillId="9" borderId="0" xfId="1" applyNumberFormat="1" applyFont="1" applyFill="1" applyBorder="1"/>
    <xf numFmtId="166" fontId="0" fillId="9" borderId="0" xfId="1" applyNumberFormat="1" applyFont="1" applyFill="1" applyBorder="1" applyAlignment="1">
      <alignment horizontal="center"/>
    </xf>
    <xf numFmtId="168" fontId="0" fillId="9" borderId="0" xfId="1" applyNumberFormat="1" applyFont="1" applyFill="1" applyBorder="1" applyAlignment="1">
      <alignment horizontal="center"/>
    </xf>
    <xf numFmtId="9" fontId="0" fillId="9" borderId="0" xfId="2" applyFont="1" applyFill="1" applyBorder="1" applyAlignment="1">
      <alignment horizontal="center"/>
    </xf>
    <xf numFmtId="43" fontId="0" fillId="9" borderId="0" xfId="1" applyNumberFormat="1" applyFont="1" applyFill="1" applyBorder="1" applyAlignment="1">
      <alignment horizontal="center" vertical="center"/>
    </xf>
    <xf numFmtId="0" fontId="0" fillId="9" borderId="19" xfId="0" applyFont="1" applyFill="1" applyBorder="1" applyAlignment="1">
      <alignment horizontal="center"/>
    </xf>
    <xf numFmtId="0" fontId="13" fillId="9" borderId="22" xfId="0" applyFont="1" applyFill="1" applyBorder="1" applyAlignment="1">
      <alignment vertical="center"/>
    </xf>
    <xf numFmtId="0" fontId="13" fillId="9" borderId="0" xfId="0" applyFont="1" applyFill="1" applyBorder="1" applyAlignment="1">
      <alignment vertical="center"/>
    </xf>
    <xf numFmtId="168" fontId="13" fillId="9" borderId="0" xfId="1" applyNumberFormat="1" applyFont="1" applyFill="1" applyBorder="1" applyAlignment="1">
      <alignment vertical="center"/>
    </xf>
    <xf numFmtId="0" fontId="13" fillId="9" borderId="0" xfId="0" applyFont="1" applyFill="1" applyBorder="1" applyAlignment="1">
      <alignment horizontal="center" vertical="center"/>
    </xf>
    <xf numFmtId="9" fontId="13" fillId="9" borderId="0" xfId="2" applyFont="1" applyFill="1" applyBorder="1" applyAlignment="1">
      <alignment horizontal="center" vertical="center"/>
    </xf>
    <xf numFmtId="9" fontId="13" fillId="9" borderId="0" xfId="0" applyNumberFormat="1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0" fillId="9" borderId="22" xfId="0" applyFill="1" applyBorder="1"/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0" xfId="0" applyFill="1" applyBorder="1" applyAlignment="1">
      <alignment horizontal="center" vertical="center"/>
    </xf>
    <xf numFmtId="0" fontId="0" fillId="9" borderId="23" xfId="0" applyFill="1" applyBorder="1"/>
    <xf numFmtId="0" fontId="0" fillId="9" borderId="16" xfId="0" applyFill="1" applyBorder="1"/>
    <xf numFmtId="0" fontId="0" fillId="9" borderId="16" xfId="0" applyFill="1" applyBorder="1" applyAlignment="1">
      <alignment horizontal="center"/>
    </xf>
    <xf numFmtId="0" fontId="0" fillId="9" borderId="16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/>
    </xf>
    <xf numFmtId="0" fontId="7" fillId="9" borderId="71" xfId="0" applyFont="1" applyFill="1" applyBorder="1" applyAlignment="1">
      <alignment horizontal="left" vertical="center"/>
    </xf>
    <xf numFmtId="0" fontId="7" fillId="9" borderId="72" xfId="0" applyFont="1" applyFill="1" applyBorder="1" applyAlignment="1">
      <alignment horizontal="right" vertical="center"/>
    </xf>
    <xf numFmtId="3" fontId="7" fillId="9" borderId="72" xfId="0" applyNumberFormat="1" applyFont="1" applyFill="1" applyBorder="1"/>
    <xf numFmtId="3" fontId="7" fillId="9" borderId="72" xfId="0" applyNumberFormat="1" applyFont="1" applyFill="1" applyBorder="1" applyAlignment="1">
      <alignment horizontal="center" vertical="center"/>
    </xf>
    <xf numFmtId="44" fontId="7" fillId="9" borderId="72" xfId="11" applyFont="1" applyFill="1" applyBorder="1"/>
    <xf numFmtId="3" fontId="7" fillId="9" borderId="73" xfId="0" applyNumberFormat="1" applyFont="1" applyFill="1" applyBorder="1"/>
    <xf numFmtId="0" fontId="7" fillId="9" borderId="64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right" vertical="center"/>
    </xf>
    <xf numFmtId="3" fontId="7" fillId="9" borderId="0" xfId="0" applyNumberFormat="1" applyFont="1" applyFill="1" applyBorder="1"/>
    <xf numFmtId="3" fontId="7" fillId="9" borderId="0" xfId="0" applyNumberFormat="1" applyFont="1" applyFill="1" applyBorder="1" applyAlignment="1">
      <alignment horizontal="center" vertical="center"/>
    </xf>
    <xf numFmtId="44" fontId="7" fillId="9" borderId="0" xfId="11" applyFont="1" applyFill="1" applyBorder="1"/>
    <xf numFmtId="3" fontId="7" fillId="9" borderId="74" xfId="0" applyNumberFormat="1" applyFont="1" applyFill="1" applyBorder="1"/>
    <xf numFmtId="10" fontId="7" fillId="9" borderId="0" xfId="2" applyNumberFormat="1" applyFont="1" applyFill="1" applyBorder="1"/>
    <xf numFmtId="0" fontId="7" fillId="9" borderId="75" xfId="0" applyFont="1" applyFill="1" applyBorder="1" applyAlignment="1">
      <alignment horizontal="left" vertical="center"/>
    </xf>
    <xf numFmtId="0" fontId="7" fillId="9" borderId="76" xfId="0" applyFont="1" applyFill="1" applyBorder="1" applyAlignment="1">
      <alignment horizontal="right" vertical="center"/>
    </xf>
    <xf numFmtId="3" fontId="7" fillId="9" borderId="76" xfId="0" applyNumberFormat="1" applyFont="1" applyFill="1" applyBorder="1"/>
    <xf numFmtId="3" fontId="7" fillId="9" borderId="76" xfId="0" applyNumberFormat="1" applyFont="1" applyFill="1" applyBorder="1" applyAlignment="1">
      <alignment horizontal="center" vertical="center"/>
    </xf>
    <xf numFmtId="10" fontId="7" fillId="9" borderId="76" xfId="2" applyNumberFormat="1" applyFont="1" applyFill="1" applyBorder="1"/>
    <xf numFmtId="3" fontId="7" fillId="9" borderId="77" xfId="0" applyNumberFormat="1" applyFont="1" applyFill="1" applyBorder="1"/>
    <xf numFmtId="168" fontId="0" fillId="0" borderId="0" xfId="0" applyNumberFormat="1" applyFill="1"/>
    <xf numFmtId="0" fontId="74" fillId="17" borderId="17" xfId="0" applyFont="1" applyFill="1" applyBorder="1" applyAlignment="1">
      <alignment horizontal="right" vertical="center"/>
    </xf>
    <xf numFmtId="0" fontId="74" fillId="17" borderId="20" xfId="0" applyFont="1" applyFill="1" applyBorder="1" applyAlignment="1">
      <alignment horizontal="right" vertical="center"/>
    </xf>
    <xf numFmtId="0" fontId="74" fillId="17" borderId="20" xfId="0" applyFont="1" applyFill="1" applyBorder="1" applyAlignment="1">
      <alignment horizontal="right" vertical="center" indent="2"/>
    </xf>
    <xf numFmtId="10" fontId="50" fillId="16" borderId="18" xfId="2" applyNumberFormat="1" applyFont="1" applyFill="1" applyBorder="1" applyAlignment="1">
      <alignment horizontal="right" vertical="center" wrapText="1" indent="1"/>
    </xf>
    <xf numFmtId="0" fontId="74" fillId="17" borderId="21" xfId="0" applyFont="1" applyFill="1" applyBorder="1" applyAlignment="1">
      <alignment horizontal="right" vertical="center"/>
    </xf>
    <xf numFmtId="0" fontId="74" fillId="17" borderId="1" xfId="0" applyFont="1" applyFill="1" applyBorder="1" applyAlignment="1">
      <alignment horizontal="right" vertical="center"/>
    </xf>
    <xf numFmtId="0" fontId="74" fillId="17" borderId="1" xfId="0" applyFont="1" applyFill="1" applyBorder="1" applyAlignment="1">
      <alignment horizontal="right" vertical="center" indent="2"/>
    </xf>
    <xf numFmtId="10" fontId="50" fillId="16" borderId="81" xfId="2" applyNumberFormat="1" applyFont="1" applyFill="1" applyBorder="1" applyAlignment="1">
      <alignment horizontal="right" vertical="center" wrapText="1" indent="1"/>
    </xf>
    <xf numFmtId="0" fontId="74" fillId="17" borderId="29" xfId="0" applyFont="1" applyFill="1" applyBorder="1" applyAlignment="1">
      <alignment horizontal="right" vertical="center"/>
    </xf>
    <xf numFmtId="0" fontId="74" fillId="17" borderId="11" xfId="0" applyFont="1" applyFill="1" applyBorder="1" applyAlignment="1">
      <alignment horizontal="right" vertical="center"/>
    </xf>
    <xf numFmtId="0" fontId="74" fillId="17" borderId="11" xfId="0" applyFont="1" applyFill="1" applyBorder="1" applyAlignment="1">
      <alignment horizontal="right" vertical="center" indent="2"/>
    </xf>
    <xf numFmtId="10" fontId="50" fillId="16" borderId="82" xfId="2" applyNumberFormat="1" applyFont="1" applyFill="1" applyBorder="1" applyAlignment="1">
      <alignment horizontal="right" vertical="center" wrapText="1" indent="1"/>
    </xf>
    <xf numFmtId="4" fontId="18" fillId="9" borderId="19" xfId="0" applyNumberFormat="1" applyFont="1" applyFill="1" applyBorder="1" applyAlignment="1">
      <alignment horizontal="right" vertical="center"/>
    </xf>
    <xf numFmtId="0" fontId="84" fillId="0" borderId="0" xfId="0" applyFont="1" applyFill="1" applyAlignment="1">
      <alignment horizontal="center" vertical="center" wrapText="1"/>
    </xf>
    <xf numFmtId="168" fontId="84" fillId="0" borderId="0" xfId="0" applyNumberFormat="1" applyFont="1" applyFill="1"/>
    <xf numFmtId="43" fontId="0" fillId="0" borderId="0" xfId="0" applyNumberFormat="1" applyFill="1"/>
    <xf numFmtId="168" fontId="0" fillId="0" borderId="0" xfId="0" applyNumberFormat="1"/>
    <xf numFmtId="43" fontId="0" fillId="0" borderId="0" xfId="0" applyNumberFormat="1"/>
    <xf numFmtId="4" fontId="0" fillId="0" borderId="0" xfId="0" applyNumberFormat="1"/>
    <xf numFmtId="185" fontId="51" fillId="0" borderId="25" xfId="8" applyNumberFormat="1" applyFont="1" applyFill="1" applyBorder="1" applyAlignment="1">
      <alignment horizontal="right" vertical="center"/>
    </xf>
    <xf numFmtId="185" fontId="0" fillId="0" borderId="25" xfId="8" applyNumberFormat="1" applyFont="1" applyFill="1" applyBorder="1" applyAlignment="1">
      <alignment horizontal="right" vertical="center"/>
    </xf>
    <xf numFmtId="185" fontId="0" fillId="0" borderId="26" xfId="8" applyNumberFormat="1" applyFont="1" applyFill="1" applyBorder="1" applyAlignment="1">
      <alignment horizontal="right" vertical="center"/>
    </xf>
    <xf numFmtId="43" fontId="62" fillId="0" borderId="0" xfId="0" applyNumberFormat="1" applyFont="1"/>
    <xf numFmtId="188" fontId="46" fillId="0" borderId="0" xfId="2" applyNumberFormat="1" applyFont="1"/>
    <xf numFmtId="0" fontId="84" fillId="0" borderId="0" xfId="0" applyFont="1" applyFill="1"/>
    <xf numFmtId="187" fontId="84" fillId="0" borderId="0" xfId="2" applyNumberFormat="1" applyFont="1" applyFill="1" applyBorder="1" applyAlignment="1">
      <alignment horizontal="center" vertical="center" wrapText="1"/>
    </xf>
    <xf numFmtId="165" fontId="84" fillId="0" borderId="0" xfId="1" applyNumberFormat="1" applyFont="1" applyFill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17" fontId="80" fillId="0" borderId="0" xfId="0" quotePrefix="1" applyNumberFormat="1" applyFont="1" applyBorder="1" applyAlignment="1">
      <alignment horizontal="center"/>
    </xf>
    <xf numFmtId="0" fontId="80" fillId="0" borderId="0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72" fillId="0" borderId="24" xfId="0" applyFont="1" applyFill="1" applyBorder="1" applyAlignment="1">
      <alignment horizontal="center" vertical="center" wrapText="1"/>
    </xf>
    <xf numFmtId="0" fontId="72" fillId="0" borderId="26" xfId="0" applyFont="1" applyFill="1" applyBorder="1" applyAlignment="1">
      <alignment horizontal="center" vertical="center" wrapText="1"/>
    </xf>
    <xf numFmtId="0" fontId="69" fillId="2" borderId="22" xfId="0" applyFont="1" applyFill="1" applyBorder="1" applyAlignment="1">
      <alignment horizontal="center" vertical="center" textRotation="90"/>
    </xf>
    <xf numFmtId="0" fontId="69" fillId="2" borderId="23" xfId="0" applyFont="1" applyFill="1" applyBorder="1" applyAlignment="1">
      <alignment horizontal="center" vertical="center" textRotation="90"/>
    </xf>
    <xf numFmtId="0" fontId="69" fillId="2" borderId="68" xfId="0" applyFont="1" applyFill="1" applyBorder="1" applyAlignment="1">
      <alignment horizontal="center" vertical="center" textRotation="90"/>
    </xf>
    <xf numFmtId="0" fontId="69" fillId="2" borderId="69" xfId="0" applyFont="1" applyFill="1" applyBorder="1" applyAlignment="1">
      <alignment horizontal="center" vertical="center" textRotation="90"/>
    </xf>
    <xf numFmtId="0" fontId="69" fillId="2" borderId="70" xfId="0" applyFont="1" applyFill="1" applyBorder="1" applyAlignment="1">
      <alignment horizontal="center" vertical="center" textRotation="90"/>
    </xf>
    <xf numFmtId="0" fontId="69" fillId="2" borderId="35" xfId="0" applyFont="1" applyFill="1" applyBorder="1" applyAlignment="1">
      <alignment horizontal="center" vertical="center" textRotation="90"/>
    </xf>
    <xf numFmtId="0" fontId="69" fillId="2" borderId="36" xfId="0" applyFont="1" applyFill="1" applyBorder="1" applyAlignment="1">
      <alignment horizontal="center" vertical="center" textRotation="90"/>
    </xf>
    <xf numFmtId="0" fontId="69" fillId="2" borderId="37" xfId="0" applyFont="1" applyFill="1" applyBorder="1" applyAlignment="1">
      <alignment horizontal="center" vertical="center" textRotation="90"/>
    </xf>
    <xf numFmtId="0" fontId="69" fillId="2" borderId="24" xfId="0" applyFont="1" applyFill="1" applyBorder="1" applyAlignment="1">
      <alignment horizontal="center" vertical="center" textRotation="90" wrapText="1"/>
    </xf>
    <xf numFmtId="0" fontId="69" fillId="2" borderId="25" xfId="0" applyFont="1" applyFill="1" applyBorder="1" applyAlignment="1">
      <alignment horizontal="center" vertical="center" textRotation="90" wrapText="1"/>
    </xf>
    <xf numFmtId="0" fontId="69" fillId="2" borderId="26" xfId="0" applyFont="1" applyFill="1" applyBorder="1" applyAlignment="1">
      <alignment horizontal="center" vertical="center" textRotation="90" wrapText="1"/>
    </xf>
    <xf numFmtId="0" fontId="69" fillId="2" borderId="24" xfId="0" applyFont="1" applyFill="1" applyBorder="1" applyAlignment="1">
      <alignment horizontal="center" vertical="center" textRotation="90"/>
    </xf>
    <xf numFmtId="0" fontId="69" fillId="2" borderId="25" xfId="0" applyFont="1" applyFill="1" applyBorder="1" applyAlignment="1">
      <alignment horizontal="center" vertical="center" textRotation="90"/>
    </xf>
    <xf numFmtId="0" fontId="69" fillId="2" borderId="26" xfId="0" applyFont="1" applyFill="1" applyBorder="1" applyAlignment="1">
      <alignment horizontal="center" vertical="center" textRotation="90"/>
    </xf>
    <xf numFmtId="0" fontId="69" fillId="2" borderId="17" xfId="0" applyFont="1" applyFill="1" applyBorder="1" applyAlignment="1">
      <alignment horizontal="center" vertical="center" textRotation="90"/>
    </xf>
    <xf numFmtId="0" fontId="69" fillId="2" borderId="35" xfId="0" applyFont="1" applyFill="1" applyBorder="1" applyAlignment="1">
      <alignment horizontal="center" vertical="center"/>
    </xf>
    <xf numFmtId="0" fontId="69" fillId="2" borderId="36" xfId="0" applyFont="1" applyFill="1" applyBorder="1" applyAlignment="1">
      <alignment horizontal="center" vertical="center"/>
    </xf>
    <xf numFmtId="0" fontId="69" fillId="2" borderId="37" xfId="0" applyFont="1" applyFill="1" applyBorder="1" applyAlignment="1">
      <alignment horizontal="center" vertical="center"/>
    </xf>
    <xf numFmtId="0" fontId="82" fillId="20" borderId="75" xfId="0" applyFont="1" applyFill="1" applyBorder="1" applyAlignment="1">
      <alignment horizontal="left" vertical="center" wrapText="1"/>
    </xf>
    <xf numFmtId="0" fontId="82" fillId="20" borderId="7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10" borderId="62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49" fontId="35" fillId="10" borderId="3" xfId="12" applyNumberFormat="1" applyFont="1" applyFill="1" applyBorder="1" applyAlignment="1">
      <alignment horizontal="center" vertical="center"/>
    </xf>
    <xf numFmtId="0" fontId="35" fillId="10" borderId="56" xfId="0" applyFont="1" applyFill="1" applyBorder="1" applyAlignment="1">
      <alignment horizontal="center" vertical="center" wrapText="1"/>
    </xf>
    <xf numFmtId="0" fontId="35" fillId="10" borderId="46" xfId="0" applyFont="1" applyFill="1" applyBorder="1" applyAlignment="1">
      <alignment horizontal="center" vertical="center" wrapText="1"/>
    </xf>
    <xf numFmtId="0" fontId="35" fillId="10" borderId="55" xfId="0" applyFont="1" applyFill="1" applyBorder="1" applyAlignment="1">
      <alignment horizontal="center" vertical="center" wrapText="1"/>
    </xf>
    <xf numFmtId="0" fontId="35" fillId="10" borderId="5" xfId="0" applyFont="1" applyFill="1" applyBorder="1" applyAlignment="1">
      <alignment horizontal="center" vertical="center" wrapText="1"/>
    </xf>
    <xf numFmtId="44" fontId="35" fillId="10" borderId="55" xfId="11" applyFont="1" applyFill="1" applyBorder="1" applyAlignment="1">
      <alignment horizontal="center" vertical="center" wrapText="1"/>
    </xf>
    <xf numFmtId="44" fontId="35" fillId="10" borderId="5" xfId="11" applyFont="1" applyFill="1" applyBorder="1" applyAlignment="1">
      <alignment horizontal="center" vertical="center" wrapText="1"/>
    </xf>
    <xf numFmtId="0" fontId="35" fillId="10" borderId="49" xfId="0" applyFont="1" applyFill="1" applyBorder="1" applyAlignment="1">
      <alignment horizontal="center" vertical="center"/>
    </xf>
    <xf numFmtId="0" fontId="44" fillId="0" borderId="0" xfId="0" quotePrefix="1" applyFont="1" applyAlignment="1">
      <alignment vertical="top" wrapText="1"/>
    </xf>
    <xf numFmtId="0" fontId="44" fillId="0" borderId="0" xfId="0" quotePrefix="1" applyFont="1" applyAlignment="1">
      <alignment horizontal="left" vertical="center" wrapText="1"/>
    </xf>
    <xf numFmtId="176" fontId="8" fillId="11" borderId="8" xfId="0" applyNumberFormat="1" applyFont="1" applyFill="1" applyBorder="1" applyAlignment="1">
      <alignment horizontal="center"/>
    </xf>
    <xf numFmtId="176" fontId="8" fillId="11" borderId="0" xfId="0" applyNumberFormat="1" applyFont="1" applyFill="1" applyBorder="1" applyAlignment="1">
      <alignment horizontal="center"/>
    </xf>
    <xf numFmtId="176" fontId="8" fillId="11" borderId="12" xfId="0" applyNumberFormat="1" applyFont="1" applyFill="1" applyBorder="1" applyAlignment="1">
      <alignment horizontal="center"/>
    </xf>
    <xf numFmtId="176" fontId="31" fillId="9" borderId="8" xfId="0" applyNumberFormat="1" applyFont="1" applyFill="1" applyBorder="1" applyAlignment="1">
      <alignment horizontal="center"/>
    </xf>
    <xf numFmtId="176" fontId="31" fillId="9" borderId="0" xfId="0" applyNumberFormat="1" applyFont="1" applyFill="1" applyBorder="1" applyAlignment="1">
      <alignment horizontal="center"/>
    </xf>
    <xf numFmtId="176" fontId="31" fillId="9" borderId="12" xfId="0" applyNumberFormat="1" applyFont="1" applyFill="1" applyBorder="1" applyAlignment="1">
      <alignment horizontal="center"/>
    </xf>
    <xf numFmtId="168" fontId="0" fillId="16" borderId="67" xfId="1" applyNumberFormat="1" applyFont="1" applyFill="1" applyBorder="1" applyAlignment="1">
      <alignment horizontal="right"/>
    </xf>
  </cellXfs>
  <cellStyles count="22">
    <cellStyle name="Hipervínculo visitado" xfId="14" builtinId="9" hidden="1"/>
    <cellStyle name="Hipervínculo visitado" xfId="15" builtinId="9" hidden="1"/>
    <cellStyle name="Millares" xfId="1" builtinId="3"/>
    <cellStyle name="Millares 2" xfId="3"/>
    <cellStyle name="Millares 2 2" xfId="10"/>
    <cellStyle name="Millares 2 2 2" xfId="20"/>
    <cellStyle name="Millares 2 3" xfId="17"/>
    <cellStyle name="Millares 3" xfId="7"/>
    <cellStyle name="Millares 3 2" xfId="18"/>
    <cellStyle name="Millares 4" xfId="9"/>
    <cellStyle name="Millares 4 2" xfId="19"/>
    <cellStyle name="Millares 5" xfId="13"/>
    <cellStyle name="Millares 6" xfId="16"/>
    <cellStyle name="Moneda" xfId="8" builtinId="4"/>
    <cellStyle name="Moneda 2" xfId="11"/>
    <cellStyle name="Moneda 2 2" xfId="21"/>
    <cellStyle name="Normal" xfId="0" builtinId="0"/>
    <cellStyle name="Normal 2" xfId="4"/>
    <cellStyle name="Normal 26" xfId="5"/>
    <cellStyle name="Normal_Contrato 3--Recaudacion y Cobranza 2" xfId="12"/>
    <cellStyle name="Porcentaje" xfId="2" builtinId="5"/>
    <cellStyle name="Porcentual 13" xfId="6"/>
  </cellStyles>
  <dxfs count="0"/>
  <tableStyles count="0" defaultTableStyle="TableStyleMedium2" defaultPivotStyle="PivotStyleLight16"/>
  <colors>
    <mruColors>
      <color rgb="FFBFBFBF"/>
      <color rgb="FFFFFFCC"/>
      <color rgb="FF00FFFF"/>
      <color rgb="FFFFCC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</a:t>
            </a:r>
            <a:r>
              <a:rPr lang="en-US" baseline="0"/>
              <a:t> de Emision Fisica vs Digital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2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8998104"/>
        <c:axId val="448996536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'Opex de Recibos'!$H$44</c15:sqref>
                        </c15:formulaRef>
                      </c:ext>
                    </c:extLst>
                    <c:strCache>
                      <c:ptCount val="1"/>
                      <c:pt idx="0">
                        <c:v>Operador X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Recibos'!$G$45:$G$46</c15:sqref>
                        </c15:formulaRef>
                      </c:ext>
                    </c:extLst>
                    <c:strCache>
                      <c:ptCount val="2"/>
                      <c:pt idx="1">
                        <c:v>Recibo 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Recibos'!$H$45:$H$46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6.6199999999999995E-2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44899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48996536"/>
        <c:crosses val="autoZero"/>
        <c:auto val="1"/>
        <c:lblAlgn val="ctr"/>
        <c:lblOffset val="100"/>
        <c:noMultiLvlLbl val="0"/>
      </c:catAx>
      <c:valAx>
        <c:axId val="44899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48998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TDP:</a:t>
            </a:r>
            <a:r>
              <a:rPr lang="en-US" baseline="0"/>
              <a:t> Recibos Emitidos</a:t>
            </a:r>
          </a:p>
          <a:p>
            <a:pPr>
              <a:defRPr/>
            </a:pPr>
            <a:r>
              <a:rPr lang="en-US" baseline="0"/>
              <a:t>con Servicios de Otro Operador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(Resumen!#REF!,Resumen!#REF!,Resumen!#REF!,Resumen!#REF!)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9346784"/>
        <c:axId val="6093471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</c15:sqref>
                        </c15:formulaRef>
                      </c:ext>
                    </c:extLst>
                    <c:strCache>
                      <c:ptCount val="1"/>
                      <c:pt idx="0">
                        <c:v>EMPRESA DE TELECOMUNICACIONES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Resumen!$B$7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Resumen!$B$10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Resumen!$B$11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Resumen!$B$12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Resumen!$B$13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Resumen!$B$14</c15:sqref>
                        </c15:formulaRef>
                      </c:ext>
                    </c:extLst>
                    <c:strCache>
                      <c:ptCount val="1"/>
                      <c:pt idx="0">
                        <c:v>Costo Medio del Recibo que incluye servicios de terceros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Resumen!$B$15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Resumen!$B$16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Resumen!$B$17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Resumen!$B$18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Resumen!$B$19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Resumen!$B$20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Resumen!$B$21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Resumen!$B$22</c15:sqref>
                        </c15:formulaRef>
                      </c:ext>
                    </c:extLst>
                    <c:strCache>
                      <c:ptCount val="1"/>
                      <c:pt idx="0">
                        <c:v>Parámetros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Resumen!$B$24</c15:sqref>
                        </c15:formulaRef>
                      </c:ext>
                    </c:extLst>
                    <c:strCache>
                      <c:ptCount val="1"/>
                      <c:pt idx="0">
                        <c:v>Servicios Promedio/Recibo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Resumen!$B$25</c15:sqref>
                        </c15:formulaRef>
                      </c:ext>
                    </c:extLst>
                    <c:strCache>
                      <c:ptCount val="1"/>
                      <c:pt idx="0">
                        <c:v>Servicio Promedio en competencia/Recibo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Resumen!$B$26</c15:sqref>
                        </c15:formulaRef>
                      </c:ext>
                    </c:extLst>
                    <c:strCache>
                      <c:ptCount val="1"/>
                      <c:pt idx="0">
                        <c:v>Operadores en Competencia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Resumen!$B$29</c15:sqref>
                        </c15:formulaRef>
                      </c:ext>
                    </c:extLst>
                    <c:strCache>
                      <c:ptCount val="1"/>
                      <c:pt idx="0">
                        <c:v>Paginas/Recibo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Resumen!$B$30</c15:sqref>
                        </c15:formulaRef>
                      </c:ext>
                    </c:extLst>
                    <c:strCache>
                      <c:ptCount val="1"/>
                      <c:pt idx="0">
                        <c:v>Hojas/Recibo Otros FyR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Resumen!$B$31</c15:sqref>
                        </c15:formulaRef>
                      </c:ext>
                    </c:extLst>
                    <c:strCache>
                      <c:ptCount val="1"/>
                      <c:pt idx="0">
                        <c:v>Páginas por Servico Atribuible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Resumen!$B$47</c15:sqref>
                        </c15:formulaRef>
                      </c:ext>
                    </c:extLst>
                    <c:strCache>
                      <c:ptCount val="1"/>
                      <c:pt idx="0">
                        <c:v>% Demanda de Recibos de Facturación y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Resumen!$B$27</c15:sqref>
                        </c15:formulaRef>
                      </c:ext>
                    </c:extLst>
                    <c:strCache>
                      <c:ptCount val="1"/>
                      <c:pt idx="0">
                        <c:v>Proporcion Recaudado/Emitido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Resumen!$B$28</c15:sqref>
                        </c15:formulaRef>
                      </c:ext>
                    </c:extLst>
                    <c:strCache>
                      <c:ptCount val="1"/>
                      <c:pt idx="0">
                        <c:v>De los Recibos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Resumen!$B$32</c15:sqref>
                        </c15:formulaRef>
                      </c:ext>
                    </c:extLst>
                    <c:strCache>
                      <c:ptCount val="1"/>
                      <c:pt idx="0">
                        <c:v>Servicios Promedio por Recibo Atribuibles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Resumen!$B$33</c15:sqref>
                        </c15:formulaRef>
                      </c:ext>
                    </c:extLst>
                    <c:strCache>
                      <c:ptCount val="1"/>
                      <c:pt idx="0">
                        <c:v>Hojas por Servicio Atribuible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Resumen!$B$52</c15:sqref>
                        </c15:formulaRef>
                      </c:ext>
                    </c:extLst>
                    <c:strCache>
                      <c:ptCount val="1"/>
                      <c:pt idx="0">
                        <c:v>Factor de Monto Recaudado en Recibos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Resumen!$B$35</c15:sqref>
                        </c15:formulaRef>
                      </c:ext>
                    </c:extLst>
                    <c:strCache>
                      <c:ptCount val="1"/>
                      <c:pt idx="0">
                        <c:v>Recibos Emitidos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/>
                  </c:spPr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>
                        <a:lumMod val="75000"/>
                      </a:schemeClr>
                    </a:solidFill>
                    <a:ln>
                      <a:noFill/>
                    </a:ln>
                    <a:effectLst/>
                  </c:spPr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</c:dPt>
                <c:dPt>
                  <c:idx val="5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Resumen!$B$37</c15:sqref>
                        </c15:formulaRef>
                      </c:ext>
                    </c:extLst>
                    <c:strCache>
                      <c:ptCount val="1"/>
                      <c:pt idx="0">
                        <c:v>Recibos Recaudados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Resumen!$B$39</c15:sqref>
                        </c15:formulaRef>
                      </c:ext>
                    </c:extLst>
                    <c:strCache>
                      <c:ptCount val="1"/>
                      <c:pt idx="0">
                        <c:v>Recibos Digitales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Resumen!$B$38</c15:sqref>
                        </c15:formulaRef>
                      </c:ext>
                    </c:extLst>
                    <c:strCache>
                      <c:ptCount val="1"/>
                      <c:pt idx="0">
                        <c:v>Recibos Físicos Distribuidos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Resumen!$B$44</c15:sqref>
                        </c15:formulaRef>
                      </c:ext>
                    </c:extLst>
                    <c:strCache>
                      <c:ptCount val="1"/>
                      <c:pt idx="0">
                        <c:v>Recaudados Otros Operadores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Resumen!$B$46</c15:sqref>
                        </c15:formulaRef>
                      </c:ext>
                    </c:extLst>
                    <c:strCache>
                      <c:ptCount val="1"/>
                      <c:pt idx="0">
                        <c:v>Recibos Digitales Otros Operadores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Resumen!$B$45</c15:sqref>
                        </c15:formulaRef>
                      </c:ext>
                    </c:extLst>
                    <c:strCache>
                      <c:ptCount val="1"/>
                      <c:pt idx="0">
                        <c:v>Recibos Impresos a Distribuir Otros Operadores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Resumen!$B$53</c15:sqref>
                        </c15:formulaRef>
                      </c:ext>
                    </c:extLst>
                    <c:strCache>
                      <c:ptCount val="1"/>
                      <c:pt idx="0">
                        <c:v>Factor Over Head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Resumen!$B$54</c15:sqref>
                        </c15:formulaRef>
                      </c:ext>
                    </c:extLst>
                    <c:strCache>
                      <c:ptCount val="1"/>
                      <c:pt idx="0">
                        <c:v>Otras Actividades (ABC)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Resumen!$B$55</c15:sqref>
                        </c15:formulaRef>
                      </c:ext>
                    </c:extLst>
                    <c:strCache>
                      <c:ptCount val="1"/>
                      <c:pt idx="0">
                        <c:v>Porcentaje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6093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7176"/>
        <c:crosses val="autoZero"/>
        <c:auto val="1"/>
        <c:lblAlgn val="ctr"/>
        <c:lblOffset val="100"/>
        <c:noMultiLvlLbl val="0"/>
      </c:catAx>
      <c:valAx>
        <c:axId val="60934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Recibos</a:t>
            </a:r>
            <a:r>
              <a:rPr lang="es-PE" baseline="0"/>
              <a:t> emitidos vs Recibos Otros Op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(Resumen!$B$35,Resumen!$B$42,Resumen!$B$46)</c:f>
              <c:strCache>
                <c:ptCount val="3"/>
                <c:pt idx="0">
                  <c:v>Recibos Emitidos</c:v>
                </c:pt>
                <c:pt idx="1">
                  <c:v>Demanda de Facturación y Recaudación (Otros Operadores)</c:v>
                </c:pt>
                <c:pt idx="2">
                  <c:v>Recibos Digitales Otros Operadores</c:v>
                </c:pt>
              </c:strCache>
              <c:extLst xmlns:c15="http://schemas.microsoft.com/office/drawing/2012/chart"/>
            </c:strRef>
          </c:cat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(Resumen!$B$35,Resumen!$B$42,Resumen!$B$46)</c:f>
              <c:strCache>
                <c:ptCount val="3"/>
                <c:pt idx="0">
                  <c:v>Recibos Emitidos</c:v>
                </c:pt>
                <c:pt idx="1">
                  <c:v>Demanda de Facturación y Recaudación (Otros Operadores)</c:v>
                </c:pt>
                <c:pt idx="2">
                  <c:v>Recibos Digitales Otros Operadores</c:v>
                </c:pt>
              </c:strCache>
              <c:extLst xmlns:c15="http://schemas.microsoft.com/office/drawing/2012/chart"/>
            </c:strRef>
          </c:cat>
          <c:val>
            <c:numRef>
              <c:f>(Resumen!#REF!,Resumen!#REF!,Resumen!#REF!)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(Resumen!$B$35,Resumen!$B$42,Resumen!$B$46)</c:f>
              <c:strCache>
                <c:ptCount val="3"/>
                <c:pt idx="0">
                  <c:v>Recibos Emitidos</c:v>
                </c:pt>
                <c:pt idx="1">
                  <c:v>Demanda de Facturación y Recaudación (Otros Operadores)</c:v>
                </c:pt>
                <c:pt idx="2">
                  <c:v>Recibos Digitales Otros Operadores</c:v>
                </c:pt>
              </c:strCache>
              <c:extLst xmlns:c15="http://schemas.microsoft.com/office/drawing/2012/chart"/>
            </c:strRef>
          </c:cat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(Resumen!$B$35,Resumen!$B$42,Resumen!$B$46)</c:f>
              <c:strCache>
                <c:ptCount val="3"/>
                <c:pt idx="0">
                  <c:v>Recibos Emitidos</c:v>
                </c:pt>
                <c:pt idx="1">
                  <c:v>Demanda de Facturación y Recaudación (Otros Operadores)</c:v>
                </c:pt>
                <c:pt idx="2">
                  <c:v>Recibos Digitales Otros Operadores</c:v>
                </c:pt>
              </c:strCache>
              <c:extLst xmlns:c15="http://schemas.microsoft.com/office/drawing/2012/chart"/>
            </c:strRef>
          </c:cat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47960"/>
        <c:axId val="609348352"/>
        <c:extLst/>
      </c:barChart>
      <c:catAx>
        <c:axId val="60934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8352"/>
        <c:crosses val="autoZero"/>
        <c:auto val="1"/>
        <c:lblAlgn val="ctr"/>
        <c:lblOffset val="100"/>
        <c:noMultiLvlLbl val="0"/>
      </c:catAx>
      <c:valAx>
        <c:axId val="6093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</a:t>
            </a:r>
            <a:r>
              <a:rPr lang="en-US" baseline="0"/>
              <a:t> de Emision Fisica vs Digital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2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09349136"/>
        <c:axId val="609349528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'Opex de Recibos'!$H$44</c15:sqref>
                        </c15:formulaRef>
                      </c:ext>
                    </c:extLst>
                    <c:strCache>
                      <c:ptCount val="1"/>
                      <c:pt idx="0">
                        <c:v>Operador X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21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Recibos'!$G$45:$G$46</c15:sqref>
                        </c15:formulaRef>
                      </c:ext>
                    </c:extLst>
                    <c:strCache>
                      <c:ptCount val="2"/>
                      <c:pt idx="1">
                        <c:v>Recibo 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Recibos'!$H$45:$H$46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6.6199999999999995E-2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60934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9528"/>
        <c:crosses val="autoZero"/>
        <c:auto val="1"/>
        <c:lblAlgn val="ctr"/>
        <c:lblOffset val="100"/>
        <c:noMultiLvlLbl val="0"/>
      </c:catAx>
      <c:valAx>
        <c:axId val="60934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Costos</a:t>
            </a:r>
            <a:r>
              <a:rPr lang="en-US" baseline="0"/>
              <a:t> de Distribución Entel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2"/>
          <c:order val="2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3"/>
          <c:order val="3"/>
          <c:tx>
            <c:strRef>
              <c:f>'Opex de Recibos'!$H$51:$H$52</c:f>
              <c:strCache>
                <c:ptCount val="2"/>
                <c:pt idx="0">
                  <c:v>Operador X</c:v>
                </c:pt>
                <c:pt idx="1">
                  <c:v>PEN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7610062893081799E-2"/>
                  <c:y val="-7.572016460905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7924528301886694E-2"/>
                  <c:y val="-5.5967078189300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0314465408804999E-2"/>
                  <c:y val="-4.938271604938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Recibos'!$H$53:$H$55</c:f>
              <c:numCache>
                <c:formatCode>_ * #,##0.0000_ ;_ * \-#,##0.0000_ ;_ * "-"??_ ;_ @_ </c:formatCode>
                <c:ptCount val="3"/>
                <c:pt idx="0">
                  <c:v>0.27100000000000002</c:v>
                </c:pt>
                <c:pt idx="1">
                  <c:v>0.46800000000000003</c:v>
                </c:pt>
                <c:pt idx="2">
                  <c:v>7.5999999999999998E-2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5"/>
          <c:order val="5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09350312"/>
        <c:axId val="60935070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'Opex de Recibos'!$G$51:$G$52</c15:sqref>
                        </c15:formulaRef>
                      </c:ext>
                    </c:extLst>
                    <c:strCache>
                      <c:ptCount val="2"/>
                      <c:pt idx="0">
                        <c:v>DESTINO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Recibos'!$F$53:$F$55</c15:sqref>
                        </c15:formulaRef>
                      </c:ext>
                    </c:extLst>
                    <c:strCache>
                      <c:ptCount val="3"/>
                      <c:pt idx="0">
                        <c:v>LIMA</c:v>
                      </c:pt>
                      <c:pt idx="1">
                        <c:v>PROVINCIA</c:v>
                      </c:pt>
                      <c:pt idx="2">
                        <c:v>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Recibos'!$G$53:$G$55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60935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0704"/>
        <c:crosses val="autoZero"/>
        <c:auto val="1"/>
        <c:lblAlgn val="ctr"/>
        <c:lblOffset val="100"/>
        <c:noMultiLvlLbl val="0"/>
      </c:catAx>
      <c:valAx>
        <c:axId val="60935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Resumen!$C$5:$C$5</c:f>
              <c:strCache>
                <c:ptCount val="1"/>
                <c:pt idx="0">
                  <c:v>Operador X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Resumen!$C$6:$C$55</c:f>
              <c:numCache>
                <c:formatCode>_ * #,##0.0000_ ;_ * \-#,##0.0000_ ;_ * "-"??_ ;_ @_ </c:formatCode>
                <c:ptCount val="48"/>
                <c:pt idx="0" formatCode="_-[$$-540A]* #,##0.0000_ ;_-[$$-540A]* \-#,##0.0000\ ;_-[$$-540A]* &quot;-&quot;??_ ;_-@_ ">
                  <c:v>0.10396328100252254</c:v>
                </c:pt>
                <c:pt idx="1">
                  <c:v>9.2924598554113974E-3</c:v>
                </c:pt>
                <c:pt idx="2">
                  <c:v>1.3881094817089309E-2</c:v>
                </c:pt>
                <c:pt idx="3">
                  <c:v>6.9387786179597472E-3</c:v>
                </c:pt>
                <c:pt idx="4">
                  <c:v>2.2205714297561817E-2</c:v>
                </c:pt>
                <c:pt idx="5">
                  <c:v>4.9170828732679271E-2</c:v>
                </c:pt>
                <c:pt idx="6">
                  <c:v>4.3447826777489538E-4</c:v>
                </c:pt>
                <c:pt idx="7">
                  <c:v>2.0399264140461009E-3</c:v>
                </c:pt>
                <c:pt idx="8">
                  <c:v>0.72574609715994343</c:v>
                </c:pt>
                <c:pt idx="9">
                  <c:v>6.8659772031084476E-2</c:v>
                </c:pt>
                <c:pt idx="10">
                  <c:v>0.10256410256410256</c:v>
                </c:pt>
                <c:pt idx="11">
                  <c:v>2.5597310090587067E-2</c:v>
                </c:pt>
                <c:pt idx="12">
                  <c:v>8.1917378540721439E-2</c:v>
                </c:pt>
                <c:pt idx="13">
                  <c:v>0.44700753393344789</c:v>
                </c:pt>
                <c:pt idx="14">
                  <c:v>3.2102564102564103E-3</c:v>
                </c:pt>
                <c:pt idx="15">
                  <c:v>1.4587496552914863E-2</c:v>
                </c:pt>
                <c:pt idx="18" formatCode="_(* #,##0.00_);_(* \(#,##0.00\);_(* &quot;-&quot;??_);_(@_)">
                  <c:v>2.6943808797355713</c:v>
                </c:pt>
                <c:pt idx="19" formatCode="General">
                  <c:v>1</c:v>
                </c:pt>
                <c:pt idx="20" formatCode="_ * #,##0_ ;_ * \-#,##0_ ;_ * &quot;-&quot;??_ ;_ @_ ">
                  <c:v>2</c:v>
                </c:pt>
                <c:pt idx="21" formatCode="0.00%">
                  <c:v>0.81932773109243695</c:v>
                </c:pt>
                <c:pt idx="23" formatCode="_(* #,##0.00_);_(* \(#,##0.00\);_(* &quot;-&quot;??_);_(@_)">
                  <c:v>1.9092295957284515</c:v>
                </c:pt>
                <c:pt idx="24" formatCode="_(* #,##0.00_);_(* \(#,##0.00\);_(* &quot;-&quot;??_);_(@_)">
                  <c:v>1.8445112245210673</c:v>
                </c:pt>
                <c:pt idx="25" formatCode="_(* #,##0.00_);_(* \(#,##0.00\);_(* &quot;-&quot;??_);_(@_)">
                  <c:v>0.27107452280743177</c:v>
                </c:pt>
                <c:pt idx="26" formatCode="_(* #,##0.00_);_(* \(#,##0.00\);_(* &quot;-&quot;??_);_(@_)">
                  <c:v>3.6943808797355713</c:v>
                </c:pt>
                <c:pt idx="27" formatCode="_(* #,##0.00_);_(* \(#,##0.00\);_(* &quot;-&quot;??_);_(@_)">
                  <c:v>0.49927478637586764</c:v>
                </c:pt>
                <c:pt idx="29" formatCode="_ * #,##0_ ;_ * \-#,##0_ ;_ * &quot;-&quot;??_ ;_ @_ ">
                  <c:v>47600000</c:v>
                </c:pt>
                <c:pt idx="30" formatCode="_ * #,##0_ ;_ * \-#,##0_ ;_ * &quot;-&quot;??_ ;_ @_ ">
                  <c:v>3083333.333333333</c:v>
                </c:pt>
                <c:pt idx="31" formatCode="_ * #,##0_ ;_ * \-#,##0_ ;_ * &quot;-&quot;??_ ;_ @_ ">
                  <c:v>39000000</c:v>
                </c:pt>
                <c:pt idx="32" formatCode="_ * #,##0_ ;_ * \-#,##0_ ;_ * &quot;-&quot;??_ ;_ @_ ">
                  <c:v>38915126.050420165</c:v>
                </c:pt>
                <c:pt idx="33" formatCode="_ * #,##0_ ;_ * \-#,##0_ ;_ * &quot;-&quot;??_ ;_ @_ ">
                  <c:v>8684873.9495798331</c:v>
                </c:pt>
                <c:pt idx="34" formatCode="0.00%">
                  <c:v>0.81932773109243695</c:v>
                </c:pt>
                <c:pt idx="35" formatCode="0.00%">
                  <c:v>0.18245533507520659</c:v>
                </c:pt>
                <c:pt idx="37" formatCode="_ * #,##0_ ;_ * \-#,##0_ ;_ * &quot;-&quot;??_ ;_ @_ ">
                  <c:v>2600000</c:v>
                </c:pt>
                <c:pt idx="38" formatCode="_ * #,##0_ ;_ * \-#,##0_ ;_ * &quot;-&quot;??_ ;_ @_ ">
                  <c:v>2130252.1008403362</c:v>
                </c:pt>
                <c:pt idx="39" formatCode="_ * #,##0_ ;_ * \-#,##0_ ;_ * &quot;-&quot;??_ ;_ @_ ">
                  <c:v>2490526.7989548761</c:v>
                </c:pt>
                <c:pt idx="40" formatCode="_ * #,##0_ ;_ * \-#,##0_ ;_ * &quot;-&quot;??_ ;_ @_ ">
                  <c:v>109473.20104512396</c:v>
                </c:pt>
                <c:pt idx="41" formatCode="0.00%">
                  <c:v>5.4621848739495799E-2</c:v>
                </c:pt>
                <c:pt idx="42" formatCode="0.00%">
                  <c:v>1.1691230338289162</c:v>
                </c:pt>
                <c:pt idx="43" formatCode="0.00%">
                  <c:v>5.1389786683904343E-2</c:v>
                </c:pt>
                <c:pt idx="44" formatCode="0%">
                  <c:v>0.11</c:v>
                </c:pt>
                <c:pt idx="45" formatCode="0.00%">
                  <c:v>3.1300000000000001E-2</c:v>
                </c:pt>
                <c:pt idx="46" formatCode="0.00%">
                  <c:v>2.01E-2</c:v>
                </c:pt>
                <c:pt idx="47" formatCode="0.00%">
                  <c:v>0.81932773109243695</c:v>
                </c:pt>
              </c:numCache>
            </c:numRef>
          </c:val>
        </c:ser>
        <c:ser>
          <c:idx val="11"/>
          <c:order val="11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51880"/>
        <c:axId val="609352272"/>
      </c:barChart>
      <c:catAx>
        <c:axId val="60935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2272"/>
        <c:crosses val="autoZero"/>
        <c:auto val="1"/>
        <c:lblAlgn val="ctr"/>
        <c:lblOffset val="100"/>
        <c:noMultiLvlLbl val="0"/>
      </c:catAx>
      <c:valAx>
        <c:axId val="60935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00_ ;_ * \-#,##0.0000_ ;_ * &quot;-&quot;??_ ;_ @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Cargo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3"/>
          <c:order val="0"/>
          <c:tx>
            <c:strRef>
              <c:f>Resumen!$B$7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"/>
          <c:tx>
            <c:strRef>
              <c:f>Resumen!$B$8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2"/>
          <c:tx>
            <c:strRef>
              <c:f>Resumen!$B$9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3"/>
          <c:tx>
            <c:strRef>
              <c:f>Resumen!$B$10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4"/>
          <c:tx>
            <c:strRef>
              <c:f>Resumen!$B$11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5"/>
          <c:tx>
            <c:strRef>
              <c:f>Resumen!$B$12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6"/>
          <c:tx>
            <c:strRef>
              <c:f>Resumen!$B$13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353056"/>
        <c:axId val="609353448"/>
      </c:barChart>
      <c:catAx>
        <c:axId val="60935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3448"/>
        <c:crosses val="autoZero"/>
        <c:auto val="1"/>
        <c:lblAlgn val="ctr"/>
        <c:lblOffset val="100"/>
        <c:noMultiLvlLbl val="0"/>
      </c:catAx>
      <c:valAx>
        <c:axId val="60935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30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Costo Medio del Recibo con Servicio de Otro Operador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Resumen!$B$15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1"/>
          <c:tx>
            <c:strRef>
              <c:f>Resumen!$B$16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2"/>
          <c:tx>
            <c:strRef>
              <c:f>Resumen!$B$17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3"/>
          <c:tx>
            <c:strRef>
              <c:f>Resumen!$B$18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4"/>
          <c:tx>
            <c:strRef>
              <c:f>Resumen!$B$19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5"/>
          <c:tx>
            <c:strRef>
              <c:f>Resumen!$B$20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6"/>
          <c:tx>
            <c:strRef>
              <c:f>Resumen!$B$21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354624"/>
        <c:axId val="609355016"/>
      </c:barChart>
      <c:catAx>
        <c:axId val="60935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5016"/>
        <c:crosses val="autoZero"/>
        <c:auto val="1"/>
        <c:lblAlgn val="ctr"/>
        <c:lblOffset val="100"/>
        <c:noMultiLvlLbl val="0"/>
      </c:catAx>
      <c:valAx>
        <c:axId val="60935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4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</a:t>
            </a:r>
            <a:r>
              <a:rPr lang="es-PE" baseline="0"/>
              <a:t> de los Componentes de Sistemas para FyR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(Resumen!#REF!,Resumen!$C$57:$C$57,Resumen!#REF!)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(Resumen!#REF!,Resumen!$C$58:$C$58,Resumen!#REF!)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(Resumen!#REF!,Resumen!$C$59:$C$59,Resumen!#REF!)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(Resumen!#REF!,Resumen!$C$60:$C$60,Resumen!#REF!)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(Resumen!#REF!,Resumen!$C$61:$C$61,Resumen!#REF!)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(Resumen!#REF!,Resumen!$C$62:$C$62,Resumen!#REF!)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(Resumen!#REF!,Resumen!$C$63:$C$63,Resumen!#REF!)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(Resumen!#REF!,Resumen!$C$64:$C$64,Resumen!#REF!)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(Resumen!#REF!,Resumen!$C$65:$C$65,Resumen!#REF!)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(Resumen!#REF!,Resumen!$C$66:$C$66,Resumen!#REF!)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(Resumen!#REF!,Resumen!$C$67:$C$67,Resumen!#REF!)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(Resumen!#REF!,Resumen!$C$70:$C$70,Resumen!#REF!)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(Resumen!#REF!,Resumen!$C$71:$C$71,Resumen!#REF!)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(Resumen!#REF!,Resumen!$C$72:$C$72,Resumen!#REF!)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(Resumen!#REF!,Resumen!$C$73:$C$73,Resumen!#REF!)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(Resumen!#REF!,Resumen!$C$74:$C$74,Resumen!#REF!)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(Resumen!#REF!,Resumen!$C$75:$C$75,Resumen!#REF!)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(Resumen!#REF!,Resumen!$C$76:$C$76,Resumen!#REF!)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(Resumen!#REF!,Resumen!$C$77:$C$77,Resumen!#REF!)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(Resumen!#REF!,Resumen!$C$78:$C$78,Resumen!#REF!)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(Resumen!#REF!,Resumen!$C$79:$C$79,Resumen!#REF!)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(Resumen!#REF!,Resumen!$C$81:$C$81,Resumen!#REF!)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(Resumen!#REF!,Resumen!$C$82:$C$82,Resumen!#REF!)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(Resumen!#REF!,Resumen!$C$83:$C$83,Resumen!#REF!)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(Resumen!#REF!,Resumen!$C$84:$C$84,Resumen!#REF!)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(Resumen!#REF!,Resumen!$C$85:$C$85,Resumen!#REF!)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(Resumen!#REF!,Resumen!$C$86:$C$86,Resumen!#REF!)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(Resumen!#REF!,Resumen!$C$87:$C$87,Resumen!#REF!)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(Resumen!#REF!,Resumen!$C$88:$C$88,Resumen!#REF!)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356192"/>
        <c:axId val="609356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Resumen!$B$56</c15:sqref>
                        </c15:formulaRef>
                      </c:ext>
                    </c:extLst>
                    <c:strCache>
                      <c:ptCount val="1"/>
                      <c:pt idx="0">
                        <c:v>Sistemas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(Resumen!#REF!,Resumen!$C$56:$C$56,Resumen!#REF!)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Resumen!$B$68</c15:sqref>
                        </c15:formulaRef>
                      </c:ext>
                    </c:extLst>
                    <c:strCache>
                      <c:ptCount val="1"/>
                      <c:pt idx="0">
                        <c:v>Opex de los Recibos</c:v>
                      </c:pt>
                    </c:strCache>
                  </c:strRef>
                </c:tx>
                <c:spPr>
                  <a:solidFill>
                    <a:srgbClr val="00B0F0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(Resumen!#REF!,Resumen!$C$68:$C$68,Resumen!#REF!)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Resumen!$B$69</c15:sqref>
                        </c15:formulaRef>
                      </c:ext>
                    </c:extLst>
                    <c:strCache>
                      <c:ptCount val="1"/>
                      <c:pt idx="0">
                        <c:v>Emision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(Resumen!#REF!,Resumen!$C$69:$C$69,Resumen!#REF!)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Resumen!$B$80</c15:sqref>
                        </c15:formulaRef>
                      </c:ext>
                    </c:extLst>
                    <c:strCache>
                      <c:ptCount val="1"/>
                      <c:pt idx="0">
                        <c:v>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(Resumen!#REF!,Resumen!$C$80:$C$80,Resumen!#REF!)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Resumen!$B$89</c15:sqref>
                        </c15:formulaRef>
                      </c:ext>
                    </c:extLst>
                    <c:strCache>
                      <c:ptCount val="1"/>
                      <c:pt idx="0">
                        <c:v>Racaudación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(Resumen!#REF!,Resumen!$C$89:$C$89,Resumen!#REF!)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(Resumen!#REF!,Resumen!$C$90:$C$90,Resumen!#REF!)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Resumen!$B$91</c15:sqref>
                        </c15:formulaRef>
                      </c:ext>
                    </c:extLst>
                    <c:strCache>
                      <c:ptCount val="1"/>
                      <c:pt idx="0">
                        <c:v>Costo Medio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(Resumen!#REF!,Resumen!$C$91:$C$91,Resumen!#REF!)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Resumen!$B$92</c15:sqref>
                        </c15:formulaRef>
                      </c:ext>
                    </c:extLst>
                    <c:strCache>
                      <c:ptCount val="1"/>
                      <c:pt idx="0">
                        <c:v>Componente Atribuible a Servicio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(Resumen!#REF!,Resumen!$C$92:$C$92,Resumen!#REF!)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Resumen!$B$93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(Resumen!#REF!,Resumen!$C$93:$C$93,Resumen!#REF!)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60935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6584"/>
        <c:crosses val="autoZero"/>
        <c:auto val="1"/>
        <c:lblAlgn val="ctr"/>
        <c:lblOffset val="100"/>
        <c:noMultiLvlLbl val="0"/>
      </c:catAx>
      <c:valAx>
        <c:axId val="60935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OPEX de recibos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(Resumen!#REF!,Resumen!$C$57:$C$57,Resumen!#REF!)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(Resumen!#REF!,Resumen!$C$58:$C$58,Resumen!#REF!)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(Resumen!#REF!,Resumen!$C$59:$C$59,Resumen!#REF!)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(Resumen!#REF!,Resumen!$C$60:$C$60,Resumen!#REF!)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(Resumen!#REF!,Resumen!$C$61:$C$61,Resumen!#REF!)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(Resumen!#REF!,Resumen!$C$62:$C$62,Resumen!#REF!)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(Resumen!#REF!,Resumen!$C$63:$C$63,Resumen!#REF!)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(Resumen!#REF!,Resumen!$C$64:$C$64,Resumen!#REF!)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(Resumen!#REF!,Resumen!$C$65:$C$65,Resumen!#REF!)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(Resumen!#REF!,Resumen!$C$66:$C$66,Resumen!#REF!)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(Resumen!#REF!,Resumen!$C$67:$C$67,Resumen!#REF!)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(Resumen!#REF!,Resumen!$C$69:$C$69,Resumen!#REF!)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(Resumen!#REF!,Resumen!$C$70:$C$70,Resumen!#REF!)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(Resumen!#REF!,Resumen!$C$71:$C$71,Resumen!#REF!)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(Resumen!#REF!,Resumen!$C$72:$C$72,Resumen!#REF!)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(Resumen!#REF!,Resumen!$C$73:$C$73,Resumen!#REF!)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(Resumen!#REF!,Resumen!$C$74:$C$74,Resumen!#REF!)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(Resumen!#REF!,Resumen!$C$75:$C$75,Resumen!#REF!)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(Resumen!#REF!,Resumen!$C$76:$C$76,Resumen!#REF!)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(Resumen!#REF!,Resumen!$C$77:$C$77,Resumen!#REF!)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(Resumen!#REF!,Resumen!$C$78:$C$78,Resumen!#REF!)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(Resumen!#REF!,Resumen!$C$79:$C$79,Resumen!#REF!)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</c:spPr>
          <c:invertIfNegative val="0"/>
          <c:val>
            <c:numRef>
              <c:f>(Resumen!#REF!,Resumen!$C$80:$C$80,Resumen!#REF!)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(Resumen!#REF!,Resumen!$C$81:$C$81,Resumen!#REF!)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(Resumen!#REF!,Resumen!$C$82:$C$82,Resumen!#REF!)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(Resumen!#REF!,Resumen!$C$83:$C$83,Resumen!#REF!)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(Resumen!#REF!,Resumen!$C$84:$C$84,Resumen!#REF!)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(Resumen!#REF!,Resumen!$C$85:$C$85,Resumen!#REF!)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(Resumen!#REF!,Resumen!$C$86:$C$86,Resumen!#REF!)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(Resumen!#REF!,Resumen!$C$87:$C$87,Resumen!#REF!)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(Resumen!#REF!,Resumen!$C$88:$C$88,Resumen!#REF!)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(Resumen!#REF!,Resumen!$C$89:$C$89,Resumen!#REF!)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100"/>
        <c:axId val="609357368"/>
        <c:axId val="609357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Resumen!$B$56</c15:sqref>
                        </c15:formulaRef>
                      </c:ext>
                    </c:extLst>
                    <c:strCache>
                      <c:ptCount val="1"/>
                      <c:pt idx="0">
                        <c:v>Sistemas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(Resumen!#REF!,Resumen!$C$56:$C$56,Resumen!#REF!)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Resumen!$B$68</c15:sqref>
                        </c15:formulaRef>
                      </c:ext>
                    </c:extLst>
                    <c:strCache>
                      <c:ptCount val="1"/>
                      <c:pt idx="0">
                        <c:v>Opex de los Recibos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(Resumen!#REF!,Resumen!$C$68:$C$68,Resumen!#REF!)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(Resumen!#REF!,Resumen!$C$90:$C$90,Resumen!#REF!)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Resumen!$B$91</c15:sqref>
                        </c15:formulaRef>
                      </c:ext>
                    </c:extLst>
                    <c:strCache>
                      <c:ptCount val="1"/>
                      <c:pt idx="0">
                        <c:v>Costo Medio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(Resumen!#REF!,Resumen!$C$91:$C$91,Resumen!#REF!)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Resumen!$B$92</c15:sqref>
                        </c15:formulaRef>
                      </c:ext>
                    </c:extLst>
                    <c:strCache>
                      <c:ptCount val="1"/>
                      <c:pt idx="0">
                        <c:v>Componente Atribuible a Servicio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(Resumen!#REF!,Resumen!$C$92:$C$92,Resumen!#REF!)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Resumen!$B$93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(Resumen!#REF!,Resumen!$C$93:$C$93,Resumen!#REF!)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609357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7760"/>
        <c:crosses val="autoZero"/>
        <c:auto val="1"/>
        <c:lblAlgn val="ctr"/>
        <c:lblOffset val="100"/>
        <c:noMultiLvlLbl val="0"/>
      </c:catAx>
      <c:valAx>
        <c:axId val="609357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9357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Emision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(Resumen!#REF!,Resumen!$C$57:$C$57,Resumen!#REF!)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(Resumen!#REF!,Resumen!$C$58:$C$58,Resumen!#REF!)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(Resumen!#REF!,Resumen!$C$59:$C$59,Resumen!#REF!)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(Resumen!#REF!,Resumen!$C$60:$C$60,Resumen!#REF!)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(Resumen!#REF!,Resumen!$C$61:$C$61,Resumen!#REF!)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(Resumen!#REF!,Resumen!$C$62:$C$62,Resumen!#REF!)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(Resumen!#REF!,Resumen!$C$63:$C$63,Resumen!#REF!)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(Resumen!#REF!,Resumen!$C$64:$C$64,Resumen!#REF!)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(Resumen!#REF!,Resumen!$C$65:$C$65,Resumen!#REF!)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(Resumen!#REF!,Resumen!$C$66:$C$66,Resumen!#REF!)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(Resumen!#REF!,Resumen!$C$67:$C$67,Resumen!#REF!)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(Resumen!#REF!,Resumen!$C$70:$C$70,Resumen!#REF!)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(Resumen!#REF!,Resumen!$C$71:$C$71,Resumen!#REF!)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(Resumen!#REF!,Resumen!$C$72:$C$72,Resumen!#REF!)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(Resumen!#REF!,Resumen!$C$73:$C$73,Resumen!#REF!)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(Resumen!#REF!,Resumen!$C$74:$C$74,Resumen!#REF!)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(Resumen!#REF!,Resumen!$C$75:$C$75,Resumen!#REF!)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(Resumen!#REF!,Resumen!$C$76:$C$76,Resumen!#REF!)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(Resumen!#REF!,Resumen!$C$77:$C$77,Resumen!#REF!)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(Resumen!#REF!,Resumen!$C$78:$C$78,Resumen!#REF!)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(Resumen!#REF!,Resumen!$C$79:$C$79,Resumen!#REF!)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(Resumen!#REF!,Resumen!$C$81:$C$81,Resumen!#REF!)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(Resumen!#REF!,Resumen!$C$82:$C$82,Resumen!#REF!)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(Resumen!#REF!,Resumen!$C$83:$C$83,Resumen!#REF!)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(Resumen!#REF!,Resumen!$C$84:$C$84,Resumen!#REF!)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(Resumen!#REF!,Resumen!$C$85:$C$85,Resumen!#REF!)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(Resumen!#REF!,Resumen!$C$86:$C$86,Resumen!#REF!)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(Resumen!#REF!,Resumen!$C$87:$C$87,Resumen!#REF!)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(Resumen!#REF!,Resumen!$C$88:$C$88,Resumen!#REF!)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09358936"/>
        <c:axId val="6093593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Resumen!$B$56</c15:sqref>
                        </c15:formulaRef>
                      </c:ext>
                    </c:extLst>
                    <c:strCache>
                      <c:ptCount val="1"/>
                      <c:pt idx="0">
                        <c:v>Sistemas</c:v>
                      </c:pt>
                    </c:strCache>
                  </c:strRef>
                </c:tx>
                <c:spPr>
                  <a:solidFill>
                    <a:schemeClr val="accent1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(Resumen!#REF!,Resumen!$C$56:$C$56,Resumen!#REF!)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Resumen!$B$68</c15:sqref>
                        </c15:formulaRef>
                      </c:ext>
                    </c:extLst>
                    <c:strCache>
                      <c:ptCount val="1"/>
                      <c:pt idx="0">
                        <c:v>Opex de los Recibos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(Resumen!#REF!,Resumen!$C$68:$C$68,Resumen!#REF!)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Resumen!$B$69</c15:sqref>
                        </c15:formulaRef>
                      </c:ext>
                    </c:extLst>
                    <c:strCache>
                      <c:ptCount val="1"/>
                      <c:pt idx="0">
                        <c:v>Emision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(Resumen!#REF!,Resumen!$C$69:$C$69,Resumen!#REF!)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Resumen!$B$80</c15:sqref>
                        </c15:formulaRef>
                      </c:ext>
                    </c:extLst>
                    <c:strCache>
                      <c:ptCount val="1"/>
                      <c:pt idx="0">
                        <c:v>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(Resumen!#REF!,Resumen!$C$80:$C$80,Resumen!#REF!)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Resumen!$B$89</c15:sqref>
                        </c15:formulaRef>
                      </c:ext>
                    </c:extLst>
                    <c:strCache>
                      <c:ptCount val="1"/>
                      <c:pt idx="0">
                        <c:v>Racaudación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(Resumen!#REF!,Resumen!$C$89:$C$89,Resumen!#REF!)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(Resumen!#REF!,Resumen!$C$90:$C$90,Resumen!#REF!)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Resumen!$B$91</c15:sqref>
                        </c15:formulaRef>
                      </c:ext>
                    </c:extLst>
                    <c:strCache>
                      <c:ptCount val="1"/>
                      <c:pt idx="0">
                        <c:v>Costo Medio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(Resumen!#REF!,Resumen!$C$91:$C$91,Resumen!#REF!)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Resumen!$B$92</c15:sqref>
                        </c15:formulaRef>
                      </c:ext>
                    </c:extLst>
                    <c:strCache>
                      <c:ptCount val="1"/>
                      <c:pt idx="0">
                        <c:v>Componente Atribuible a Servicio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(Resumen!#REF!,Resumen!$C$92:$C$92,Resumen!#REF!)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Resumen!$B$93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(Resumen!#REF!,Resumen!$C$93:$C$93,Resumen!#REF!)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60935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9328"/>
        <c:crosses val="autoZero"/>
        <c:auto val="1"/>
        <c:lblAlgn val="ctr"/>
        <c:lblOffset val="100"/>
        <c:noMultiLvlLbl val="0"/>
      </c:catAx>
      <c:valAx>
        <c:axId val="6093593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58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Costos</a:t>
            </a:r>
            <a:r>
              <a:rPr lang="en-US" baseline="0"/>
              <a:t> de Distribución Telefonica del Peru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2"/>
          <c:order val="2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8996144"/>
        <c:axId val="32953081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'Opex de Recibos'!$G$51:$G$52</c15:sqref>
                        </c15:formulaRef>
                      </c:ext>
                    </c:extLst>
                    <c:strCache>
                      <c:ptCount val="2"/>
                      <c:pt idx="0">
                        <c:v>DESTINO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Recibos'!$F$53:$F$55</c15:sqref>
                        </c15:formulaRef>
                      </c:ext>
                    </c:extLst>
                    <c:strCache>
                      <c:ptCount val="3"/>
                      <c:pt idx="0">
                        <c:v>LIMA</c:v>
                      </c:pt>
                      <c:pt idx="1">
                        <c:v>PROVINCIA</c:v>
                      </c:pt>
                      <c:pt idx="2">
                        <c:v>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Recibos'!$G$53:$G$55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'Opex de Recibos'!$H$51:$H$52</c15:sqref>
                        </c15:formulaRef>
                      </c:ext>
                    </c:extLst>
                    <c:strCache>
                      <c:ptCount val="2"/>
                      <c:pt idx="0">
                        <c:v>Operador X</c:v>
                      </c:pt>
                      <c:pt idx="1">
                        <c:v>PEN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'Opex de Recibos'!$F$53:$F$55</c15:sqref>
                        </c15:formulaRef>
                      </c:ext>
                    </c:extLst>
                    <c:strCache>
                      <c:ptCount val="3"/>
                      <c:pt idx="0">
                        <c:v>LIMA</c:v>
                      </c:pt>
                      <c:pt idx="1">
                        <c:v>PROVINCIA</c:v>
                      </c:pt>
                      <c:pt idx="2">
                        <c:v>DIGITAL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'Opex de Recibos'!$H$53:$H$55</c15:sqref>
                        </c15:formulaRef>
                      </c:ext>
                    </c:extLst>
                    <c:numCache>
                      <c:formatCode>_ * #,##0.0000_ ;_ * \-#,##0.0000_ ;_ * "-"??_ ;_ @_ </c:formatCode>
                      <c:ptCount val="3"/>
                      <c:pt idx="0">
                        <c:v>0.27100000000000002</c:v>
                      </c:pt>
                      <c:pt idx="1">
                        <c:v>0.46800000000000003</c:v>
                      </c:pt>
                      <c:pt idx="2">
                        <c:v>7.5999999999999998E-2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44899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9530816"/>
        <c:crosses val="autoZero"/>
        <c:auto val="1"/>
        <c:lblAlgn val="ctr"/>
        <c:lblOffset val="100"/>
        <c:noMultiLvlLbl val="0"/>
      </c:catAx>
      <c:valAx>
        <c:axId val="32953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4899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Distribución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(Resumen!#REF!,Resumen!$C$57:$C$57,Resumen!#REF!)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(Resumen!#REF!,Resumen!$C$58:$C$58,Resumen!#REF!)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(Resumen!#REF!,Resumen!$C$59:$C$59,Resumen!#REF!)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(Resumen!#REF!,Resumen!$C$60:$C$60,Resumen!#REF!)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(Resumen!#REF!,Resumen!$C$61:$C$61,Resumen!#REF!)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(Resumen!#REF!,Resumen!$C$62:$C$62,Resumen!#REF!)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(Resumen!#REF!,Resumen!$C$63:$C$63,Resumen!#REF!)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(Resumen!#REF!,Resumen!$C$64:$C$64,Resumen!#REF!)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(Resumen!#REF!,Resumen!$C$65:$C$65,Resumen!#REF!)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(Resumen!#REF!,Resumen!$C$66:$C$66,Resumen!#REF!)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(Resumen!#REF!,Resumen!$C$67:$C$67,Resumen!#REF!)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(Resumen!#REF!,Resumen!$C$70:$C$70,Resumen!#REF!)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(Resumen!#REF!,Resumen!$C$71:$C$71,Resumen!#REF!)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(Resumen!#REF!,Resumen!$C$72:$C$72,Resumen!#REF!)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(Resumen!#REF!,Resumen!$C$73:$C$73,Resumen!#REF!)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(Resumen!#REF!,Resumen!$C$74:$C$74,Resumen!#REF!)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(Resumen!#REF!,Resumen!$C$75:$C$75,Resumen!#REF!)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(Resumen!#REF!,Resumen!$C$76:$C$76,Resumen!#REF!)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(Resumen!#REF!,Resumen!$C$77:$C$77,Resumen!#REF!)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(Resumen!#REF!,Resumen!$C$78:$C$78,Resumen!#REF!)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(Resumen!#REF!,Resumen!$C$79:$C$79,Resumen!#REF!)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(Resumen!#REF!,Resumen!$C$81:$C$81,Resumen!#REF!)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(Resumen!#REF!,Resumen!$C$82:$C$82,Resumen!#REF!)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(Resumen!#REF!,Resumen!$C$83:$C$83,Resumen!#REF!)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(Resumen!#REF!,Resumen!$C$84:$C$84,Resumen!#REF!)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(Resumen!#REF!,Resumen!$C$85:$C$85,Resumen!#REF!)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(Resumen!#REF!,Resumen!$C$86:$C$86,Resumen!#REF!)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(Resumen!#REF!,Resumen!$C$87:$C$87,Resumen!#REF!)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(Resumen!#REF!,Resumen!$C$88:$C$88,Resumen!#REF!)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09360112"/>
        <c:axId val="609360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Resumen!$B$56</c15:sqref>
                        </c15:formulaRef>
                      </c:ext>
                    </c:extLst>
                    <c:strCache>
                      <c:ptCount val="1"/>
                      <c:pt idx="0">
                        <c:v>Sistemas</c:v>
                      </c:pt>
                    </c:strCache>
                  </c:strRef>
                </c:tx>
                <c:spPr>
                  <a:solidFill>
                    <a:schemeClr val="accent1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(Resumen!#REF!,Resumen!$C$56:$C$56,Resumen!#REF!)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Resumen!$B$68</c15:sqref>
                        </c15:formulaRef>
                      </c:ext>
                    </c:extLst>
                    <c:strCache>
                      <c:ptCount val="1"/>
                      <c:pt idx="0">
                        <c:v>Opex de los Recibos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(Resumen!#REF!,Resumen!$C$68:$C$68,Resumen!#REF!)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Resumen!$B$69</c15:sqref>
                        </c15:formulaRef>
                      </c:ext>
                    </c:extLst>
                    <c:strCache>
                      <c:ptCount val="1"/>
                      <c:pt idx="0">
                        <c:v>Emision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(Resumen!#REF!,Resumen!$C$69:$C$69,Resumen!#REF!)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Resumen!$B$80</c15:sqref>
                        </c15:formulaRef>
                      </c:ext>
                    </c:extLst>
                    <c:strCache>
                      <c:ptCount val="1"/>
                      <c:pt idx="0">
                        <c:v>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(Resumen!#REF!,Resumen!$C$80:$C$80,Resumen!#REF!)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Resumen!$B$89</c15:sqref>
                        </c15:formulaRef>
                      </c:ext>
                    </c:extLst>
                    <c:strCache>
                      <c:ptCount val="1"/>
                      <c:pt idx="0">
                        <c:v>Racaudación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(Resumen!#REF!,Resumen!$C$89:$C$89,Resumen!#REF!)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(Resumen!#REF!,Resumen!$C$90:$C$90,Resumen!#REF!)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Resumen!$B$91</c15:sqref>
                        </c15:formulaRef>
                      </c:ext>
                    </c:extLst>
                    <c:strCache>
                      <c:ptCount val="1"/>
                      <c:pt idx="0">
                        <c:v>Costo Medio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(Resumen!#REF!,Resumen!$C$91:$C$91,Resumen!#REF!)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Resumen!$B$92</c15:sqref>
                        </c15:formulaRef>
                      </c:ext>
                    </c:extLst>
                    <c:strCache>
                      <c:ptCount val="1"/>
                      <c:pt idx="0">
                        <c:v>Componente Atribuible a Servicio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(Resumen!#REF!,Resumen!$C$92:$C$92,Resumen!#REF!)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Resumen!$B$93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(Resumen!#REF!,Resumen!$C$93:$C$93,Resumen!#REF!)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60936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0504"/>
        <c:crosses val="autoZero"/>
        <c:auto val="1"/>
        <c:lblAlgn val="ctr"/>
        <c:lblOffset val="100"/>
        <c:noMultiLvlLbl val="0"/>
      </c:catAx>
      <c:valAx>
        <c:axId val="6093605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Entel:</a:t>
            </a:r>
            <a:r>
              <a:rPr lang="en-US" baseline="0"/>
              <a:t> Recibos Emitidos Propios vs Recibos</a:t>
            </a:r>
          </a:p>
          <a:p>
            <a:pPr>
              <a:defRPr/>
            </a:pPr>
            <a:r>
              <a:rPr lang="en-US" baseline="0"/>
              <a:t>con Servicios de Otro Operador: 0.067%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Resumen!$B$35</c:f>
              <c:strCache>
                <c:ptCount val="1"/>
                <c:pt idx="0">
                  <c:v>Recibos Emitidos</c:v>
                </c:pt>
              </c:strCache>
              <c:extLst xmlns:c15="http://schemas.microsoft.com/office/drawing/2012/chart"/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9361288"/>
        <c:axId val="6093616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</c15:sqref>
                        </c15:formulaRef>
                      </c:ext>
                    </c:extLst>
                    <c:strCache>
                      <c:ptCount val="1"/>
                      <c:pt idx="0">
                        <c:v>EMPRESA DE TELECOMUNICACIONES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Resumen!$B$7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Resumen!$B$10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Resumen!$B$11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Resumen!$B$12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Resumen!$B$13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Resumen!$B$14</c15:sqref>
                        </c15:formulaRef>
                      </c:ext>
                    </c:extLst>
                    <c:strCache>
                      <c:ptCount val="1"/>
                      <c:pt idx="0">
                        <c:v>Costo Medio del Recibo que incluye servicios de terceros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Resumen!$B$15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Resumen!$B$16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Resumen!$B$17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Resumen!$B$18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Resumen!$B$19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Resumen!$B$20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Resumen!$B$21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Resumen!$B$22</c15:sqref>
                        </c15:formulaRef>
                      </c:ext>
                    </c:extLst>
                    <c:strCache>
                      <c:ptCount val="1"/>
                      <c:pt idx="0">
                        <c:v>Parámetros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Resumen!$B$24</c15:sqref>
                        </c15:formulaRef>
                      </c:ext>
                    </c:extLst>
                    <c:strCache>
                      <c:ptCount val="1"/>
                      <c:pt idx="0">
                        <c:v>Servicios Promedio/Recibo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Resumen!$B$25</c15:sqref>
                        </c15:formulaRef>
                      </c:ext>
                    </c:extLst>
                    <c:strCache>
                      <c:ptCount val="1"/>
                      <c:pt idx="0">
                        <c:v>Servicio Promedio en competencia/Recibo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Resumen!$B$26</c15:sqref>
                        </c15:formulaRef>
                      </c:ext>
                    </c:extLst>
                    <c:strCache>
                      <c:ptCount val="1"/>
                      <c:pt idx="0">
                        <c:v>Operadores en Competencia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Resumen!$B$29</c15:sqref>
                        </c15:formulaRef>
                      </c:ext>
                    </c:extLst>
                    <c:strCache>
                      <c:ptCount val="1"/>
                      <c:pt idx="0">
                        <c:v>Paginas/Recibo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Resumen!$B$30</c15:sqref>
                        </c15:formulaRef>
                      </c:ext>
                    </c:extLst>
                    <c:strCache>
                      <c:ptCount val="1"/>
                      <c:pt idx="0">
                        <c:v>Hojas/Recibo Otros FyR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Resumen!$B$31</c15:sqref>
                        </c15:formulaRef>
                      </c:ext>
                    </c:extLst>
                    <c:strCache>
                      <c:ptCount val="1"/>
                      <c:pt idx="0">
                        <c:v>Páginas por Servico Atribuible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Resumen!$B$47</c15:sqref>
                        </c15:formulaRef>
                      </c:ext>
                    </c:extLst>
                    <c:strCache>
                      <c:ptCount val="1"/>
                      <c:pt idx="0">
                        <c:v>% Demanda de Recibos de Facturación y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Resumen!$B$27</c15:sqref>
                        </c15:formulaRef>
                      </c:ext>
                    </c:extLst>
                    <c:strCache>
                      <c:ptCount val="1"/>
                      <c:pt idx="0">
                        <c:v>Proporcion Recaudado/Emitido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Resumen!$B$28</c15:sqref>
                        </c15:formulaRef>
                      </c:ext>
                    </c:extLst>
                    <c:strCache>
                      <c:ptCount val="1"/>
                      <c:pt idx="0">
                        <c:v>De los Recibos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Resumen!$B$32</c15:sqref>
                        </c15:formulaRef>
                      </c:ext>
                    </c:extLst>
                    <c:strCache>
                      <c:ptCount val="1"/>
                      <c:pt idx="0">
                        <c:v>Servicios Promedio por Recibo Atribuibles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Resumen!$B$33</c15:sqref>
                        </c15:formulaRef>
                      </c:ext>
                    </c:extLst>
                    <c:strCache>
                      <c:ptCount val="1"/>
                      <c:pt idx="0">
                        <c:v>Hojas por Servicio Atribuible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Resumen!$B$52</c15:sqref>
                        </c15:formulaRef>
                      </c:ext>
                    </c:extLst>
                    <c:strCache>
                      <c:ptCount val="1"/>
                      <c:pt idx="0">
                        <c:v>Factor de Monto Recaudado en Recibos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Resumen!$B$37</c15:sqref>
                        </c15:formulaRef>
                      </c:ext>
                    </c:extLst>
                    <c:strCache>
                      <c:ptCount val="1"/>
                      <c:pt idx="0">
                        <c:v>Recibos Recaudados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Resumen!$B$39</c15:sqref>
                        </c15:formulaRef>
                      </c:ext>
                    </c:extLst>
                    <c:strCache>
                      <c:ptCount val="1"/>
                      <c:pt idx="0">
                        <c:v>Recibos Digitales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Resumen!$B$38</c15:sqref>
                        </c15:formulaRef>
                      </c:ext>
                    </c:extLst>
                    <c:strCache>
                      <c:ptCount val="1"/>
                      <c:pt idx="0">
                        <c:v>Recibos Físicos Distribuidos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Resumen!$B$44</c15:sqref>
                        </c15:formulaRef>
                      </c:ext>
                    </c:extLst>
                    <c:strCache>
                      <c:ptCount val="1"/>
                      <c:pt idx="0">
                        <c:v>Recaudados Otros Operadores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Resumen!$B$46</c15:sqref>
                        </c15:formulaRef>
                      </c:ext>
                    </c:extLst>
                    <c:strCache>
                      <c:ptCount val="1"/>
                      <c:pt idx="0">
                        <c:v>Recibos Digitales Otros Operadores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Resumen!$B$45</c15:sqref>
                        </c15:formulaRef>
                      </c:ext>
                    </c:extLst>
                    <c:strCache>
                      <c:ptCount val="1"/>
                      <c:pt idx="0">
                        <c:v>Recibos Impresos a Distribuir Otros Operadores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Resumen!$B$53</c15:sqref>
                        </c15:formulaRef>
                      </c:ext>
                    </c:extLst>
                    <c:strCache>
                      <c:ptCount val="1"/>
                      <c:pt idx="0">
                        <c:v>Factor Over Head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Resumen!$B$54</c15:sqref>
                        </c15:formulaRef>
                      </c:ext>
                    </c:extLst>
                    <c:strCache>
                      <c:ptCount val="1"/>
                      <c:pt idx="0">
                        <c:v>Otras Actividades (ABC)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Resumen!$B$55</c15:sqref>
                        </c15:formulaRef>
                      </c:ext>
                    </c:extLst>
                    <c:strCache>
                      <c:ptCount val="1"/>
                      <c:pt idx="0">
                        <c:v>Porcentaje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60936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1680"/>
        <c:crosses val="autoZero"/>
        <c:auto val="1"/>
        <c:lblAlgn val="ctr"/>
        <c:lblOffset val="100"/>
        <c:noMultiLvlLbl val="0"/>
      </c:catAx>
      <c:valAx>
        <c:axId val="6093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1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</a:t>
            </a:r>
            <a:r>
              <a:rPr lang="en-US" baseline="0"/>
              <a:t> de Emision Fisica vs Digital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2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09362856"/>
        <c:axId val="609363248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'Opex de Recibos'!$H$44</c15:sqref>
                        </c15:formulaRef>
                      </c:ext>
                    </c:extLst>
                    <c:strCache>
                      <c:ptCount val="1"/>
                      <c:pt idx="0">
                        <c:v>Operador X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21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Recibos'!$G$45:$G$46</c15:sqref>
                        </c15:formulaRef>
                      </c:ext>
                    </c:extLst>
                    <c:strCache>
                      <c:ptCount val="2"/>
                      <c:pt idx="1">
                        <c:v>Recibo 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Recibos'!$H$45:$H$46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6.6199999999999995E-2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60936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3248"/>
        <c:crosses val="autoZero"/>
        <c:auto val="1"/>
        <c:lblAlgn val="ctr"/>
        <c:lblOffset val="100"/>
        <c:noMultiLvlLbl val="0"/>
      </c:catAx>
      <c:valAx>
        <c:axId val="60936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Costos</a:t>
            </a:r>
            <a:r>
              <a:rPr lang="en-US" baseline="0"/>
              <a:t> de Distribución Entel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2"/>
          <c:order val="2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3"/>
          <c:order val="3"/>
          <c:tx>
            <c:strRef>
              <c:f>'Opex de Recibos'!$H$51:$H$52</c:f>
              <c:strCache>
                <c:ptCount val="2"/>
                <c:pt idx="0">
                  <c:v>Operador X</c:v>
                </c:pt>
                <c:pt idx="1">
                  <c:v>PEN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7610062893081799E-2"/>
                  <c:y val="-7.572016460905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7924528301886694E-2"/>
                  <c:y val="-5.5967078189300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0314465408804999E-2"/>
                  <c:y val="-4.938271604938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Recibos'!$H$53:$H$55</c:f>
              <c:numCache>
                <c:formatCode>_ * #,##0.0000_ ;_ * \-#,##0.0000_ ;_ * "-"??_ ;_ @_ </c:formatCode>
                <c:ptCount val="3"/>
                <c:pt idx="0">
                  <c:v>0.27100000000000002</c:v>
                </c:pt>
                <c:pt idx="1">
                  <c:v>0.46800000000000003</c:v>
                </c:pt>
                <c:pt idx="2">
                  <c:v>7.5999999999999998E-2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5"/>
          <c:order val="5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09364032"/>
        <c:axId val="60936442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'Opex de Recibos'!$G$51:$G$52</c15:sqref>
                        </c15:formulaRef>
                      </c:ext>
                    </c:extLst>
                    <c:strCache>
                      <c:ptCount val="2"/>
                      <c:pt idx="0">
                        <c:v>DESTINO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Recibos'!$F$53:$F$55</c15:sqref>
                        </c15:formulaRef>
                      </c:ext>
                    </c:extLst>
                    <c:strCache>
                      <c:ptCount val="3"/>
                      <c:pt idx="0">
                        <c:v>LIMA</c:v>
                      </c:pt>
                      <c:pt idx="1">
                        <c:v>PROVINCIA</c:v>
                      </c:pt>
                      <c:pt idx="2">
                        <c:v>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Recibos'!$G$53:$G$55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60936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4424"/>
        <c:crosses val="autoZero"/>
        <c:auto val="1"/>
        <c:lblAlgn val="ctr"/>
        <c:lblOffset val="100"/>
        <c:noMultiLvlLbl val="0"/>
      </c:catAx>
      <c:valAx>
        <c:axId val="60936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Resumen!$C$5:$C$5</c:f>
              <c:strCache>
                <c:ptCount val="1"/>
                <c:pt idx="0">
                  <c:v>Operador X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Resumen!$C$6:$C$55</c:f>
              <c:numCache>
                <c:formatCode>_ * #,##0.0000_ ;_ * \-#,##0.0000_ ;_ * "-"??_ ;_ @_ </c:formatCode>
                <c:ptCount val="48"/>
                <c:pt idx="0" formatCode="_-[$$-540A]* #,##0.0000_ ;_-[$$-540A]* \-#,##0.0000\ ;_-[$$-540A]* &quot;-&quot;??_ ;_-@_ ">
                  <c:v>0.10396328100252254</c:v>
                </c:pt>
                <c:pt idx="1">
                  <c:v>9.2924598554113974E-3</c:v>
                </c:pt>
                <c:pt idx="2">
                  <c:v>1.3881094817089309E-2</c:v>
                </c:pt>
                <c:pt idx="3">
                  <c:v>6.9387786179597472E-3</c:v>
                </c:pt>
                <c:pt idx="4">
                  <c:v>2.2205714297561817E-2</c:v>
                </c:pt>
                <c:pt idx="5">
                  <c:v>4.9170828732679271E-2</c:v>
                </c:pt>
                <c:pt idx="6">
                  <c:v>4.3447826777489538E-4</c:v>
                </c:pt>
                <c:pt idx="7">
                  <c:v>2.0399264140461009E-3</c:v>
                </c:pt>
                <c:pt idx="8">
                  <c:v>0.72574609715994343</c:v>
                </c:pt>
                <c:pt idx="9">
                  <c:v>6.8659772031084476E-2</c:v>
                </c:pt>
                <c:pt idx="10">
                  <c:v>0.10256410256410256</c:v>
                </c:pt>
                <c:pt idx="11">
                  <c:v>2.5597310090587067E-2</c:v>
                </c:pt>
                <c:pt idx="12">
                  <c:v>8.1917378540721439E-2</c:v>
                </c:pt>
                <c:pt idx="13">
                  <c:v>0.44700753393344789</c:v>
                </c:pt>
                <c:pt idx="14">
                  <c:v>3.2102564102564103E-3</c:v>
                </c:pt>
                <c:pt idx="15">
                  <c:v>1.4587496552914863E-2</c:v>
                </c:pt>
                <c:pt idx="18" formatCode="_(* #,##0.00_);_(* \(#,##0.00\);_(* &quot;-&quot;??_);_(@_)">
                  <c:v>2.6943808797355713</c:v>
                </c:pt>
                <c:pt idx="19" formatCode="General">
                  <c:v>1</c:v>
                </c:pt>
                <c:pt idx="20" formatCode="_ * #,##0_ ;_ * \-#,##0_ ;_ * &quot;-&quot;??_ ;_ @_ ">
                  <c:v>2</c:v>
                </c:pt>
                <c:pt idx="21" formatCode="0.00%">
                  <c:v>0.81932773109243695</c:v>
                </c:pt>
                <c:pt idx="23" formatCode="_(* #,##0.00_);_(* \(#,##0.00\);_(* &quot;-&quot;??_);_(@_)">
                  <c:v>1.9092295957284515</c:v>
                </c:pt>
                <c:pt idx="24" formatCode="_(* #,##0.00_);_(* \(#,##0.00\);_(* &quot;-&quot;??_);_(@_)">
                  <c:v>1.8445112245210673</c:v>
                </c:pt>
                <c:pt idx="25" formatCode="_(* #,##0.00_);_(* \(#,##0.00\);_(* &quot;-&quot;??_);_(@_)">
                  <c:v>0.27107452280743177</c:v>
                </c:pt>
                <c:pt idx="26" formatCode="_(* #,##0.00_);_(* \(#,##0.00\);_(* &quot;-&quot;??_);_(@_)">
                  <c:v>3.6943808797355713</c:v>
                </c:pt>
                <c:pt idx="27" formatCode="_(* #,##0.00_);_(* \(#,##0.00\);_(* &quot;-&quot;??_);_(@_)">
                  <c:v>0.49927478637586764</c:v>
                </c:pt>
                <c:pt idx="29" formatCode="_ * #,##0_ ;_ * \-#,##0_ ;_ * &quot;-&quot;??_ ;_ @_ ">
                  <c:v>47600000</c:v>
                </c:pt>
                <c:pt idx="30" formatCode="_ * #,##0_ ;_ * \-#,##0_ ;_ * &quot;-&quot;??_ ;_ @_ ">
                  <c:v>3083333.333333333</c:v>
                </c:pt>
                <c:pt idx="31" formatCode="_ * #,##0_ ;_ * \-#,##0_ ;_ * &quot;-&quot;??_ ;_ @_ ">
                  <c:v>39000000</c:v>
                </c:pt>
                <c:pt idx="32" formatCode="_ * #,##0_ ;_ * \-#,##0_ ;_ * &quot;-&quot;??_ ;_ @_ ">
                  <c:v>38915126.050420165</c:v>
                </c:pt>
                <c:pt idx="33" formatCode="_ * #,##0_ ;_ * \-#,##0_ ;_ * &quot;-&quot;??_ ;_ @_ ">
                  <c:v>8684873.9495798331</c:v>
                </c:pt>
                <c:pt idx="34" formatCode="0.00%">
                  <c:v>0.81932773109243695</c:v>
                </c:pt>
                <c:pt idx="35" formatCode="0.00%">
                  <c:v>0.18245533507520659</c:v>
                </c:pt>
                <c:pt idx="37" formatCode="_ * #,##0_ ;_ * \-#,##0_ ;_ * &quot;-&quot;??_ ;_ @_ ">
                  <c:v>2600000</c:v>
                </c:pt>
                <c:pt idx="38" formatCode="_ * #,##0_ ;_ * \-#,##0_ ;_ * &quot;-&quot;??_ ;_ @_ ">
                  <c:v>2130252.1008403362</c:v>
                </c:pt>
                <c:pt idx="39" formatCode="_ * #,##0_ ;_ * \-#,##0_ ;_ * &quot;-&quot;??_ ;_ @_ ">
                  <c:v>2490526.7989548761</c:v>
                </c:pt>
                <c:pt idx="40" formatCode="_ * #,##0_ ;_ * \-#,##0_ ;_ * &quot;-&quot;??_ ;_ @_ ">
                  <c:v>109473.20104512396</c:v>
                </c:pt>
                <c:pt idx="41" formatCode="0.00%">
                  <c:v>5.4621848739495799E-2</c:v>
                </c:pt>
                <c:pt idx="42" formatCode="0.00%">
                  <c:v>1.1691230338289162</c:v>
                </c:pt>
                <c:pt idx="43" formatCode="0.00%">
                  <c:v>5.1389786683904343E-2</c:v>
                </c:pt>
                <c:pt idx="44" formatCode="0%">
                  <c:v>0.11</c:v>
                </c:pt>
                <c:pt idx="45" formatCode="0.00%">
                  <c:v>3.1300000000000001E-2</c:v>
                </c:pt>
                <c:pt idx="46" formatCode="0.00%">
                  <c:v>2.01E-2</c:v>
                </c:pt>
                <c:pt idx="47" formatCode="0.00%">
                  <c:v>0.81932773109243695</c:v>
                </c:pt>
              </c:numCache>
            </c:numRef>
          </c:val>
        </c:ser>
        <c:ser>
          <c:idx val="11"/>
          <c:order val="11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65600"/>
        <c:axId val="609365992"/>
      </c:barChart>
      <c:catAx>
        <c:axId val="60936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5992"/>
        <c:crosses val="autoZero"/>
        <c:auto val="1"/>
        <c:lblAlgn val="ctr"/>
        <c:lblOffset val="100"/>
        <c:noMultiLvlLbl val="0"/>
      </c:catAx>
      <c:valAx>
        <c:axId val="60936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00_ ;_ * \-#,##0.0000_ ;_ * &quot;-&quot;??_ ;_ @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Evolución de la</a:t>
            </a:r>
            <a:r>
              <a:rPr lang="es-ES_tradnl" baseline="0"/>
              <a:t> </a:t>
            </a:r>
            <a:r>
              <a:rPr lang="es-ES_tradnl"/>
              <a:t>Emision</a:t>
            </a:r>
            <a:r>
              <a:rPr lang="es-ES_tradnl" baseline="0"/>
              <a:t> de Recibos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4"/>
          <c:order val="0"/>
          <c:tx>
            <c:strRef>
              <c:f>Resumen!$B$39</c:f>
              <c:strCache>
                <c:ptCount val="1"/>
                <c:pt idx="0">
                  <c:v>Recibos Digitales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1"/>
          <c:tx>
            <c:strRef>
              <c:f>Resumen!$B$38</c:f>
              <c:strCache>
                <c:ptCount val="1"/>
                <c:pt idx="0">
                  <c:v>Recibos Físicos Distribuidos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609367168"/>
        <c:axId val="609367560"/>
      </c:barChart>
      <c:catAx>
        <c:axId val="6093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7560"/>
        <c:crosses val="autoZero"/>
        <c:auto val="1"/>
        <c:lblAlgn val="ctr"/>
        <c:lblOffset val="100"/>
        <c:noMultiLvlLbl val="0"/>
      </c:catAx>
      <c:valAx>
        <c:axId val="60936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Estadistica</a:t>
            </a:r>
            <a:r>
              <a:rPr lang="es-ES_tradnl" baseline="0"/>
              <a:t> de Recibos con Servicios de Otros Op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6"/>
          <c:order val="0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1"/>
          <c:tx>
            <c:strRef>
              <c:f>Resumen!$B$44</c:f>
              <c:strCache>
                <c:ptCount val="1"/>
                <c:pt idx="0">
                  <c:v>Recaudados Otros Operadores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2"/>
          <c:tx>
            <c:strRef>
              <c:f>Resumen!$B$46</c:f>
              <c:strCache>
                <c:ptCount val="1"/>
                <c:pt idx="0">
                  <c:v>Recibos Digitales Otros Operadores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9"/>
          <c:order val="3"/>
          <c:tx>
            <c:strRef>
              <c:f>Resumen!$B$45</c:f>
              <c:strCache>
                <c:ptCount val="1"/>
                <c:pt idx="0">
                  <c:v>Recibos Impresos a Distribuir Otros Operadores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67952"/>
        <c:axId val="609368344"/>
      </c:barChart>
      <c:catAx>
        <c:axId val="60936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8344"/>
        <c:crosses val="autoZero"/>
        <c:auto val="1"/>
        <c:lblAlgn val="ctr"/>
        <c:lblOffset val="100"/>
        <c:noMultiLvlLbl val="0"/>
      </c:catAx>
      <c:valAx>
        <c:axId val="60936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Recibos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795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Cargo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3"/>
          <c:order val="0"/>
          <c:tx>
            <c:strRef>
              <c:f>Resumen!$B$7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"/>
          <c:tx>
            <c:strRef>
              <c:f>Resumen!$B$8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2"/>
          <c:tx>
            <c:strRef>
              <c:f>Resumen!$B$9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3"/>
          <c:tx>
            <c:strRef>
              <c:f>Resumen!$B$10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4"/>
          <c:tx>
            <c:strRef>
              <c:f>Resumen!$B$11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5"/>
          <c:tx>
            <c:strRef>
              <c:f>Resumen!$B$12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6"/>
          <c:tx>
            <c:strRef>
              <c:f>Resumen!$B$13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369128"/>
        <c:axId val="609369520"/>
      </c:barChart>
      <c:catAx>
        <c:axId val="60936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9520"/>
        <c:crosses val="autoZero"/>
        <c:auto val="1"/>
        <c:lblAlgn val="ctr"/>
        <c:lblOffset val="100"/>
        <c:noMultiLvlLbl val="0"/>
      </c:catAx>
      <c:valAx>
        <c:axId val="60936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691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Costo Medio del Recibo con Servicio de Otro Operador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Resumen!$B$15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1"/>
          <c:tx>
            <c:strRef>
              <c:f>Resumen!$B$16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2"/>
          <c:tx>
            <c:strRef>
              <c:f>Resumen!$B$17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3"/>
          <c:tx>
            <c:strRef>
              <c:f>Resumen!$B$18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4"/>
          <c:tx>
            <c:strRef>
              <c:f>Resumen!$B$19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5"/>
          <c:tx>
            <c:strRef>
              <c:f>Resumen!$B$20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6"/>
          <c:tx>
            <c:strRef>
              <c:f>Resumen!$B$21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370696"/>
        <c:axId val="609371088"/>
      </c:barChart>
      <c:catAx>
        <c:axId val="60937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71088"/>
        <c:crosses val="autoZero"/>
        <c:auto val="1"/>
        <c:lblAlgn val="ctr"/>
        <c:lblOffset val="100"/>
        <c:noMultiLvlLbl val="0"/>
      </c:catAx>
      <c:valAx>
        <c:axId val="60937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70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</a:t>
            </a:r>
            <a:r>
              <a:rPr lang="es-PE" baseline="0"/>
              <a:t> de los Componentes de Sistemas para FyR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9372264"/>
        <c:axId val="609372656"/>
        <c:extLst/>
      </c:barChart>
      <c:catAx>
        <c:axId val="609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72656"/>
        <c:crosses val="autoZero"/>
        <c:auto val="1"/>
        <c:lblAlgn val="ctr"/>
        <c:lblOffset val="100"/>
        <c:noMultiLvlLbl val="0"/>
      </c:catAx>
      <c:valAx>
        <c:axId val="609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7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Cargo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3"/>
          <c:order val="0"/>
          <c:tx>
            <c:strRef>
              <c:f>Resumen!$B$7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"/>
          <c:tx>
            <c:strRef>
              <c:f>Resumen!$B$8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2"/>
          <c:tx>
            <c:strRef>
              <c:f>Resumen!$B$9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3"/>
          <c:tx>
            <c:strRef>
              <c:f>Resumen!$B$10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4"/>
          <c:tx>
            <c:strRef>
              <c:f>Resumen!$B$11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5"/>
          <c:tx>
            <c:strRef>
              <c:f>Resumen!$B$12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6"/>
          <c:tx>
            <c:strRef>
              <c:f>Resumen!$B$13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29531600"/>
        <c:axId val="329530424"/>
      </c:barChart>
      <c:catAx>
        <c:axId val="32953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9530424"/>
        <c:crosses val="autoZero"/>
        <c:auto val="1"/>
        <c:lblAlgn val="ctr"/>
        <c:lblOffset val="100"/>
        <c:noMultiLvlLbl val="0"/>
      </c:catAx>
      <c:valAx>
        <c:axId val="32953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95316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OPEX de recibos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100"/>
        <c:axId val="609373440"/>
        <c:axId val="609373832"/>
        <c:extLst/>
      </c:barChart>
      <c:catAx>
        <c:axId val="60937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73832"/>
        <c:crosses val="autoZero"/>
        <c:auto val="1"/>
        <c:lblAlgn val="ctr"/>
        <c:lblOffset val="100"/>
        <c:noMultiLvlLbl val="0"/>
      </c:catAx>
      <c:valAx>
        <c:axId val="609373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9373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Emision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09375008"/>
        <c:axId val="609375400"/>
        <c:extLst/>
      </c:barChart>
      <c:catAx>
        <c:axId val="6093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75400"/>
        <c:crosses val="autoZero"/>
        <c:auto val="1"/>
        <c:lblAlgn val="ctr"/>
        <c:lblOffset val="100"/>
        <c:noMultiLvlLbl val="0"/>
      </c:catAx>
      <c:valAx>
        <c:axId val="6093754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7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Distribución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11224064"/>
        <c:axId val="611224456"/>
        <c:extLst/>
      </c:barChart>
      <c:catAx>
        <c:axId val="61122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224456"/>
        <c:crosses val="autoZero"/>
        <c:auto val="1"/>
        <c:lblAlgn val="ctr"/>
        <c:lblOffset val="100"/>
        <c:noMultiLvlLbl val="0"/>
      </c:catAx>
      <c:valAx>
        <c:axId val="6112244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22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Recibos Emitidos Propios vs Recibos</a:t>
            </a:r>
          </a:p>
          <a:p>
            <a:pPr>
              <a:defRPr/>
            </a:pPr>
            <a:r>
              <a:rPr lang="en-US" baseline="0"/>
              <a:t>con Servicios de Otro Operador: 0.067%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Resumen!$B$35</c:f>
              <c:strCache>
                <c:ptCount val="1"/>
                <c:pt idx="0">
                  <c:v>Recibos Emitidos</c:v>
                </c:pt>
              </c:strCache>
              <c:extLst xmlns:c15="http://schemas.microsoft.com/office/drawing/2012/chart"/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1225240"/>
        <c:axId val="6112256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</c15:sqref>
                        </c15:formulaRef>
                      </c:ext>
                    </c:extLst>
                    <c:strCache>
                      <c:ptCount val="1"/>
                      <c:pt idx="0">
                        <c:v>EMPRESA DE TELECOMUNICACIONES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Resumen!$B$7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Resumen!$B$10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Resumen!$B$11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Resumen!$B$12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Resumen!$B$13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Resumen!$B$14</c15:sqref>
                        </c15:formulaRef>
                      </c:ext>
                    </c:extLst>
                    <c:strCache>
                      <c:ptCount val="1"/>
                      <c:pt idx="0">
                        <c:v>Costo Medio del Recibo que incluye servicios de terceros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Resumen!$B$15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Resumen!$B$16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Resumen!$B$17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Resumen!$B$18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Resumen!$B$19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Resumen!$B$20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Resumen!$B$21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Resumen!$B$22</c15:sqref>
                        </c15:formulaRef>
                      </c:ext>
                    </c:extLst>
                    <c:strCache>
                      <c:ptCount val="1"/>
                      <c:pt idx="0">
                        <c:v>Parámetros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Resumen!$B$24</c15:sqref>
                        </c15:formulaRef>
                      </c:ext>
                    </c:extLst>
                    <c:strCache>
                      <c:ptCount val="1"/>
                      <c:pt idx="0">
                        <c:v>Servicios Promedio/Recibo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Resumen!$B$25</c15:sqref>
                        </c15:formulaRef>
                      </c:ext>
                    </c:extLst>
                    <c:strCache>
                      <c:ptCount val="1"/>
                      <c:pt idx="0">
                        <c:v>Servicio Promedio en competencia/Recibo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Resumen!$B$26</c15:sqref>
                        </c15:formulaRef>
                      </c:ext>
                    </c:extLst>
                    <c:strCache>
                      <c:ptCount val="1"/>
                      <c:pt idx="0">
                        <c:v>Operadores en Competencia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Resumen!$B$29</c15:sqref>
                        </c15:formulaRef>
                      </c:ext>
                    </c:extLst>
                    <c:strCache>
                      <c:ptCount val="1"/>
                      <c:pt idx="0">
                        <c:v>Paginas/Recibo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Resumen!$B$30</c15:sqref>
                        </c15:formulaRef>
                      </c:ext>
                    </c:extLst>
                    <c:strCache>
                      <c:ptCount val="1"/>
                      <c:pt idx="0">
                        <c:v>Hojas/Recibo Otros FyR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Resumen!$B$31</c15:sqref>
                        </c15:formulaRef>
                      </c:ext>
                    </c:extLst>
                    <c:strCache>
                      <c:ptCount val="1"/>
                      <c:pt idx="0">
                        <c:v>Páginas por Servico Atribuible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Resumen!$B$47</c15:sqref>
                        </c15:formulaRef>
                      </c:ext>
                    </c:extLst>
                    <c:strCache>
                      <c:ptCount val="1"/>
                      <c:pt idx="0">
                        <c:v>% Demanda de Recibos de Facturación y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Resumen!$B$27</c15:sqref>
                        </c15:formulaRef>
                      </c:ext>
                    </c:extLst>
                    <c:strCache>
                      <c:ptCount val="1"/>
                      <c:pt idx="0">
                        <c:v>Proporcion Recaudado/Emitido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Resumen!$B$28</c15:sqref>
                        </c15:formulaRef>
                      </c:ext>
                    </c:extLst>
                    <c:strCache>
                      <c:ptCount val="1"/>
                      <c:pt idx="0">
                        <c:v>De los Recibos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Resumen!$B$32</c15:sqref>
                        </c15:formulaRef>
                      </c:ext>
                    </c:extLst>
                    <c:strCache>
                      <c:ptCount val="1"/>
                      <c:pt idx="0">
                        <c:v>Servicios Promedio por Recibo Atribuibles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Resumen!$B$33</c15:sqref>
                        </c15:formulaRef>
                      </c:ext>
                    </c:extLst>
                    <c:strCache>
                      <c:ptCount val="1"/>
                      <c:pt idx="0">
                        <c:v>Hojas por Servicio Atribuible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Resumen!$B$52</c15:sqref>
                        </c15:formulaRef>
                      </c:ext>
                    </c:extLst>
                    <c:strCache>
                      <c:ptCount val="1"/>
                      <c:pt idx="0">
                        <c:v>Factor de Monto Recaudado en Recibos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Resumen!$B$37</c15:sqref>
                        </c15:formulaRef>
                      </c:ext>
                    </c:extLst>
                    <c:strCache>
                      <c:ptCount val="1"/>
                      <c:pt idx="0">
                        <c:v>Recibos Recaudados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Resumen!$B$39</c15:sqref>
                        </c15:formulaRef>
                      </c:ext>
                    </c:extLst>
                    <c:strCache>
                      <c:ptCount val="1"/>
                      <c:pt idx="0">
                        <c:v>Recibos Digitales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Resumen!$B$38</c15:sqref>
                        </c15:formulaRef>
                      </c:ext>
                    </c:extLst>
                    <c:strCache>
                      <c:ptCount val="1"/>
                      <c:pt idx="0">
                        <c:v>Recibos Físicos Distribuidos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Resumen!$B$44</c15:sqref>
                        </c15:formulaRef>
                      </c:ext>
                    </c:extLst>
                    <c:strCache>
                      <c:ptCount val="1"/>
                      <c:pt idx="0">
                        <c:v>Recaudados Otros Operadores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Resumen!$B$46</c15:sqref>
                        </c15:formulaRef>
                      </c:ext>
                    </c:extLst>
                    <c:strCache>
                      <c:ptCount val="1"/>
                      <c:pt idx="0">
                        <c:v>Recibos Digitales Otros Operadores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Resumen!$B$45</c15:sqref>
                        </c15:formulaRef>
                      </c:ext>
                    </c:extLst>
                    <c:strCache>
                      <c:ptCount val="1"/>
                      <c:pt idx="0">
                        <c:v>Recibos Impresos a Distribuir Otros Operadores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Resumen!$B$53</c15:sqref>
                        </c15:formulaRef>
                      </c:ext>
                    </c:extLst>
                    <c:strCache>
                      <c:ptCount val="1"/>
                      <c:pt idx="0">
                        <c:v>Factor Over Head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Resumen!$B$54</c15:sqref>
                        </c15:formulaRef>
                      </c:ext>
                    </c:extLst>
                    <c:strCache>
                      <c:ptCount val="1"/>
                      <c:pt idx="0">
                        <c:v>Otras Actividades (ABC)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Resumen!$B$55</c15:sqref>
                        </c15:formulaRef>
                      </c:ext>
                    </c:extLst>
                    <c:strCache>
                      <c:ptCount val="1"/>
                      <c:pt idx="0">
                        <c:v>Porcentaje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61122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225632"/>
        <c:crosses val="autoZero"/>
        <c:auto val="1"/>
        <c:lblAlgn val="ctr"/>
        <c:lblOffset val="100"/>
        <c:noMultiLvlLbl val="0"/>
      </c:catAx>
      <c:valAx>
        <c:axId val="61122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225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Hoja1!$A$1:$A$5</c:f>
              <c:strCache>
                <c:ptCount val="5"/>
                <c:pt idx="0">
                  <c:v>TdP</c:v>
                </c:pt>
                <c:pt idx="1">
                  <c:v>Americatel</c:v>
                </c:pt>
                <c:pt idx="2">
                  <c:v>America Movil</c:v>
                </c:pt>
                <c:pt idx="3">
                  <c:v>Viettel</c:v>
                </c:pt>
                <c:pt idx="4">
                  <c:v>Entel</c:v>
                </c:pt>
              </c:strCache>
            </c:strRef>
          </c:cat>
          <c:val>
            <c:numRef>
              <c:f>Hoja1!$B$1:$B$5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0.10396328100252254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226808"/>
        <c:axId val="611227200"/>
      </c:barChart>
      <c:catAx>
        <c:axId val="61122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227200"/>
        <c:crosses val="autoZero"/>
        <c:auto val="1"/>
        <c:lblAlgn val="ctr"/>
        <c:lblOffset val="100"/>
        <c:noMultiLvlLbl val="0"/>
      </c:catAx>
      <c:valAx>
        <c:axId val="61122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22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Costo Medio del Recibo con Servicio de Otro Operador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Resumen!$B$15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1"/>
          <c:tx>
            <c:strRef>
              <c:f>Resumen!$B$16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2"/>
          <c:tx>
            <c:strRef>
              <c:f>Resumen!$B$17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3"/>
          <c:tx>
            <c:strRef>
              <c:f>Resumen!$B$18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4"/>
          <c:tx>
            <c:strRef>
              <c:f>Resumen!$B$19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5"/>
          <c:tx>
            <c:strRef>
              <c:f>Resumen!$B$20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6"/>
          <c:tx>
            <c:strRef>
              <c:f>Resumen!$B$21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2713296"/>
        <c:axId val="502711728"/>
      </c:barChart>
      <c:catAx>
        <c:axId val="50271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2711728"/>
        <c:crosses val="autoZero"/>
        <c:auto val="1"/>
        <c:lblAlgn val="ctr"/>
        <c:lblOffset val="100"/>
        <c:noMultiLvlLbl val="0"/>
      </c:catAx>
      <c:valAx>
        <c:axId val="50271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2713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</a:t>
            </a:r>
            <a:r>
              <a:rPr lang="es-PE" baseline="0"/>
              <a:t> de los Componentes de Sistemas para FyR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9242776"/>
        <c:axId val="502712120"/>
        <c:extLst/>
      </c:barChart>
      <c:catAx>
        <c:axId val="20924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2712120"/>
        <c:crosses val="autoZero"/>
        <c:auto val="1"/>
        <c:lblAlgn val="ctr"/>
        <c:lblOffset val="100"/>
        <c:noMultiLvlLbl val="0"/>
      </c:catAx>
      <c:valAx>
        <c:axId val="50271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242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OPEX de recibos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100"/>
        <c:axId val="586807960"/>
        <c:axId val="331325216"/>
        <c:extLst/>
      </c:barChart>
      <c:catAx>
        <c:axId val="586807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31325216"/>
        <c:crosses val="autoZero"/>
        <c:auto val="1"/>
        <c:lblAlgn val="ctr"/>
        <c:lblOffset val="100"/>
        <c:noMultiLvlLbl val="0"/>
      </c:catAx>
      <c:valAx>
        <c:axId val="331325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86807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Emision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37586072"/>
        <c:axId val="609343648"/>
        <c:extLst/>
      </c:barChart>
      <c:catAx>
        <c:axId val="33758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3648"/>
        <c:crosses val="autoZero"/>
        <c:auto val="1"/>
        <c:lblAlgn val="ctr"/>
        <c:lblOffset val="100"/>
        <c:noMultiLvlLbl val="0"/>
      </c:catAx>
      <c:valAx>
        <c:axId val="6093436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37586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Distribución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09344432"/>
        <c:axId val="609344824"/>
        <c:extLst/>
      </c:barChart>
      <c:catAx>
        <c:axId val="60934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4824"/>
        <c:crosses val="autoZero"/>
        <c:auto val="1"/>
        <c:lblAlgn val="ctr"/>
        <c:lblOffset val="100"/>
        <c:noMultiLvlLbl val="0"/>
      </c:catAx>
      <c:valAx>
        <c:axId val="6093448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Comparación</a:t>
            </a:r>
            <a:r>
              <a:rPr lang="en-US" baseline="0"/>
              <a:t> de Recibos Emitidos</a:t>
            </a:r>
          </a:p>
          <a:p>
            <a:pPr>
              <a:defRPr/>
            </a:pPr>
            <a:r>
              <a:rPr lang="en-US" baseline="0"/>
              <a:t>con Servicios de Otro Operador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6"/>
          <c:order val="36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(Resumen!#REF!,Resumen!#REF!,Resumen!#REF!,Resumen!#REF!,Resumen!#REF!,Resumen!#REF!)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9345608"/>
        <c:axId val="609346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</c15:sqref>
                        </c15:formulaRef>
                      </c:ext>
                    </c:extLst>
                    <c:strCache>
                      <c:ptCount val="1"/>
                      <c:pt idx="0">
                        <c:v>EMPRESA DE TELECOMUNICACIONES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Resumen!$B$7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Resumen!$B$10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Resumen!$B$11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Resumen!$B$12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Resumen!$B$13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Resumen!$B$14</c15:sqref>
                        </c15:formulaRef>
                      </c:ext>
                    </c:extLst>
                    <c:strCache>
                      <c:ptCount val="1"/>
                      <c:pt idx="0">
                        <c:v>Costo Medio del Recibo que incluye servicios de terceros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Resumen!$B$15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Resumen!$B$16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Resumen!$B$17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Resumen!$B$18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Resumen!$B$19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Resumen!$B$20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Resumen!$B$21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Resumen!$B$22</c15:sqref>
                        </c15:formulaRef>
                      </c:ext>
                    </c:extLst>
                    <c:strCache>
                      <c:ptCount val="1"/>
                      <c:pt idx="0">
                        <c:v>Parámetros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Resumen!$B$24</c15:sqref>
                        </c15:formulaRef>
                      </c:ext>
                    </c:extLst>
                    <c:strCache>
                      <c:ptCount val="1"/>
                      <c:pt idx="0">
                        <c:v>Servicios Promedio/Recibo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Resumen!$B$25</c15:sqref>
                        </c15:formulaRef>
                      </c:ext>
                    </c:extLst>
                    <c:strCache>
                      <c:ptCount val="1"/>
                      <c:pt idx="0">
                        <c:v>Servicio Promedio en competencia/Recibo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Resumen!$B$26</c15:sqref>
                        </c15:formulaRef>
                      </c:ext>
                    </c:extLst>
                    <c:strCache>
                      <c:ptCount val="1"/>
                      <c:pt idx="0">
                        <c:v>Operadores en Competencia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Resumen!$B$29</c15:sqref>
                        </c15:formulaRef>
                      </c:ext>
                    </c:extLst>
                    <c:strCache>
                      <c:ptCount val="1"/>
                      <c:pt idx="0">
                        <c:v>Paginas/Recibo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Resumen!$B$30</c15:sqref>
                        </c15:formulaRef>
                      </c:ext>
                    </c:extLst>
                    <c:strCache>
                      <c:ptCount val="1"/>
                      <c:pt idx="0">
                        <c:v>Hojas/Recibo Otros FyR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Resumen!$B$31</c15:sqref>
                        </c15:formulaRef>
                      </c:ext>
                    </c:extLst>
                    <c:strCache>
                      <c:ptCount val="1"/>
                      <c:pt idx="0">
                        <c:v>Páginas por Servico Atribuible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Resumen!$B$47</c15:sqref>
                        </c15:formulaRef>
                      </c:ext>
                    </c:extLst>
                    <c:strCache>
                      <c:ptCount val="1"/>
                      <c:pt idx="0">
                        <c:v>% Demanda de Recibos de Facturación y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Resumen!$B$27</c15:sqref>
                        </c15:formulaRef>
                      </c:ext>
                    </c:extLst>
                    <c:strCache>
                      <c:ptCount val="1"/>
                      <c:pt idx="0">
                        <c:v>Proporcion Recaudado/Emitido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Resumen!$B$28</c15:sqref>
                        </c15:formulaRef>
                      </c:ext>
                    </c:extLst>
                    <c:strCache>
                      <c:ptCount val="1"/>
                      <c:pt idx="0">
                        <c:v>De los Recibos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Resumen!$B$32</c15:sqref>
                        </c15:formulaRef>
                      </c:ext>
                    </c:extLst>
                    <c:strCache>
                      <c:ptCount val="1"/>
                      <c:pt idx="0">
                        <c:v>Servicios Promedio por Recibo Atribuibles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Resumen!$B$33</c15:sqref>
                        </c15:formulaRef>
                      </c:ext>
                    </c:extLst>
                    <c:strCache>
                      <c:ptCount val="1"/>
                      <c:pt idx="0">
                        <c:v>Hojas por Servicio Atribuible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Resumen!$B$52</c15:sqref>
                        </c15:formulaRef>
                      </c:ext>
                    </c:extLst>
                    <c:strCache>
                      <c:ptCount val="1"/>
                      <c:pt idx="0">
                        <c:v>Factor de Monto Recaudado en Recibos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Resumen!$B$35</c15:sqref>
                        </c15:formulaRef>
                      </c:ext>
                    </c:extLst>
                    <c:strCache>
                      <c:ptCount val="1"/>
                      <c:pt idx="0">
                        <c:v>Recibos Emitidos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/>
                  </c:spPr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</c:dPt>
                <c:dPt>
                  <c:idx val="3"/>
                  <c:invertIfNegative val="0"/>
                  <c:bubble3D val="0"/>
                  <c:spPr>
                    <a:solidFill>
                      <a:srgbClr val="FFCC00"/>
                    </a:solidFill>
                    <a:ln>
                      <a:noFill/>
                    </a:ln>
                    <a:effectLst/>
                  </c:spPr>
                </c:dPt>
                <c:dPt>
                  <c:idx val="4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Resumen!$B$37</c15:sqref>
                        </c15:formulaRef>
                      </c:ext>
                    </c:extLst>
                    <c:strCache>
                      <c:ptCount val="1"/>
                      <c:pt idx="0">
                        <c:v>Recibos Recaudados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Resumen!$B$39</c15:sqref>
                        </c15:formulaRef>
                      </c:ext>
                    </c:extLst>
                    <c:strCache>
                      <c:ptCount val="1"/>
                      <c:pt idx="0">
                        <c:v>Recibos Digitales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Resumen!$B$38</c15:sqref>
                        </c15:formulaRef>
                      </c:ext>
                    </c:extLst>
                    <c:strCache>
                      <c:ptCount val="1"/>
                      <c:pt idx="0">
                        <c:v>Recibos Físicos Distribuidos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Resumen!$B$44</c15:sqref>
                        </c15:formulaRef>
                      </c:ext>
                    </c:extLst>
                    <c:strCache>
                      <c:ptCount val="1"/>
                      <c:pt idx="0">
                        <c:v>Recaudados Otros Operadores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Resumen!$B$46</c15:sqref>
                        </c15:formulaRef>
                      </c:ext>
                    </c:extLst>
                    <c:strCache>
                      <c:ptCount val="1"/>
                      <c:pt idx="0">
                        <c:v>Recibos Digitales Otros Operadores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Resumen!$B$45</c15:sqref>
                        </c15:formulaRef>
                      </c:ext>
                    </c:extLst>
                    <c:strCache>
                      <c:ptCount val="1"/>
                      <c:pt idx="0">
                        <c:v>Recibos Impresos a Distribuir Otros Operadores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Resumen!$B$53</c15:sqref>
                        </c15:formulaRef>
                      </c:ext>
                    </c:extLst>
                    <c:strCache>
                      <c:ptCount val="1"/>
                      <c:pt idx="0">
                        <c:v>Factor Over Head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Resumen!$B$54</c15:sqref>
                        </c15:formulaRef>
                      </c:ext>
                    </c:extLst>
                    <c:strCache>
                      <c:ptCount val="1"/>
                      <c:pt idx="0">
                        <c:v>Otras Actividades (ABC)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Resumen!$B$55</c15:sqref>
                        </c15:formulaRef>
                      </c:ext>
                    </c:extLst>
                    <c:strCache>
                      <c:ptCount val="1"/>
                      <c:pt idx="0">
                        <c:v>Porcentaje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609345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6000"/>
        <c:crosses val="autoZero"/>
        <c:auto val="1"/>
        <c:lblAlgn val="ctr"/>
        <c:lblOffset val="100"/>
        <c:noMultiLvlLbl val="0"/>
      </c:catAx>
      <c:valAx>
        <c:axId val="60934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9345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0" Type="http://schemas.openxmlformats.org/officeDocument/2006/relationships/chart" Target="../charts/chart31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168273</xdr:colOff>
      <xdr:row>15</xdr:row>
      <xdr:rowOff>74083</xdr:rowOff>
    </xdr:from>
    <xdr:to>
      <xdr:col>17</xdr:col>
      <xdr:colOff>243416</xdr:colOff>
      <xdr:row>26</xdr:row>
      <xdr:rowOff>84667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169333</xdr:colOff>
      <xdr:row>1</xdr:row>
      <xdr:rowOff>21167</xdr:rowOff>
    </xdr:from>
    <xdr:to>
      <xdr:col>17</xdr:col>
      <xdr:colOff>243416</xdr:colOff>
      <xdr:row>15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97</xdr:row>
      <xdr:rowOff>77561</xdr:rowOff>
    </xdr:from>
    <xdr:to>
      <xdr:col>6</xdr:col>
      <xdr:colOff>602797</xdr:colOff>
      <xdr:row>115</xdr:row>
      <xdr:rowOff>99333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350156</xdr:colOff>
      <xdr:row>111</xdr:row>
      <xdr:rowOff>186871</xdr:rowOff>
    </xdr:from>
    <xdr:to>
      <xdr:col>7</xdr:col>
      <xdr:colOff>65313</xdr:colOff>
      <xdr:row>131</xdr:row>
      <xdr:rowOff>119743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107950</xdr:colOff>
      <xdr:row>1</xdr:row>
      <xdr:rowOff>10583</xdr:rowOff>
    </xdr:from>
    <xdr:to>
      <xdr:col>9</xdr:col>
      <xdr:colOff>498476</xdr:colOff>
      <xdr:row>23</xdr:row>
      <xdr:rowOff>67733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72</xdr:row>
      <xdr:rowOff>142875</xdr:rowOff>
    </xdr:from>
    <xdr:to>
      <xdr:col>13</xdr:col>
      <xdr:colOff>152401</xdr:colOff>
      <xdr:row>95</xdr:row>
      <xdr:rowOff>9525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83</xdr:row>
      <xdr:rowOff>0</xdr:rowOff>
    </xdr:from>
    <xdr:to>
      <xdr:col>18</xdr:col>
      <xdr:colOff>314325</xdr:colOff>
      <xdr:row>105</xdr:row>
      <xdr:rowOff>57150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107</xdr:row>
      <xdr:rowOff>0</xdr:rowOff>
    </xdr:from>
    <xdr:to>
      <xdr:col>18</xdr:col>
      <xdr:colOff>381001</xdr:colOff>
      <xdr:row>129</xdr:row>
      <xdr:rowOff>57150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39</xdr:row>
      <xdr:rowOff>0</xdr:rowOff>
    </xdr:from>
    <xdr:to>
      <xdr:col>29</xdr:col>
      <xdr:colOff>392340</xdr:colOff>
      <xdr:row>69</xdr:row>
      <xdr:rowOff>95250</xdr:rowOff>
    </xdr:to>
    <xdr:graphicFrame macro="">
      <xdr:nvGraphicFramePr>
        <xdr:cNvPr id="24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0</xdr:colOff>
      <xdr:row>74</xdr:row>
      <xdr:rowOff>0</xdr:rowOff>
    </xdr:from>
    <xdr:to>
      <xdr:col>29</xdr:col>
      <xdr:colOff>392340</xdr:colOff>
      <xdr:row>104</xdr:row>
      <xdr:rowOff>95250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110066</xdr:colOff>
      <xdr:row>23</xdr:row>
      <xdr:rowOff>107950</xdr:rowOff>
    </xdr:from>
    <xdr:to>
      <xdr:col>7</xdr:col>
      <xdr:colOff>510116</xdr:colOff>
      <xdr:row>42</xdr:row>
      <xdr:rowOff>69850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7</xdr:col>
      <xdr:colOff>104775</xdr:colOff>
      <xdr:row>14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2</xdr:row>
      <xdr:rowOff>95249</xdr:rowOff>
    </xdr:from>
    <xdr:to>
      <xdr:col>16</xdr:col>
      <xdr:colOff>57150</xdr:colOff>
      <xdr:row>22</xdr:row>
      <xdr:rowOff>142874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588735</xdr:colOff>
      <xdr:row>111</xdr:row>
      <xdr:rowOff>83457</xdr:rowOff>
    </xdr:from>
    <xdr:to>
      <xdr:col>20</xdr:col>
      <xdr:colOff>262164</xdr:colOff>
      <xdr:row>125</xdr:row>
      <xdr:rowOff>185057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357866</xdr:colOff>
      <xdr:row>92</xdr:row>
      <xdr:rowOff>163286</xdr:rowOff>
    </xdr:from>
    <xdr:to>
      <xdr:col>7</xdr:col>
      <xdr:colOff>27213</xdr:colOff>
      <xdr:row>110</xdr:row>
      <xdr:rowOff>185058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350156</xdr:colOff>
      <xdr:row>111</xdr:row>
      <xdr:rowOff>186871</xdr:rowOff>
    </xdr:from>
    <xdr:to>
      <xdr:col>7</xdr:col>
      <xdr:colOff>65313</xdr:colOff>
      <xdr:row>131</xdr:row>
      <xdr:rowOff>119743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19049</xdr:colOff>
      <xdr:row>34</xdr:row>
      <xdr:rowOff>28575</xdr:rowOff>
    </xdr:from>
    <xdr:to>
      <xdr:col>19</xdr:col>
      <xdr:colOff>171450</xdr:colOff>
      <xdr:row>56</xdr:row>
      <xdr:rowOff>85725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85725</xdr:colOff>
      <xdr:row>57</xdr:row>
      <xdr:rowOff>104775</xdr:rowOff>
    </xdr:from>
    <xdr:to>
      <xdr:col>19</xdr:col>
      <xdr:colOff>238126</xdr:colOff>
      <xdr:row>79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83</xdr:row>
      <xdr:rowOff>0</xdr:rowOff>
    </xdr:from>
    <xdr:to>
      <xdr:col>18</xdr:col>
      <xdr:colOff>314325</xdr:colOff>
      <xdr:row>105</xdr:row>
      <xdr:rowOff>57150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</xdr:colOff>
      <xdr:row>107</xdr:row>
      <xdr:rowOff>0</xdr:rowOff>
    </xdr:from>
    <xdr:to>
      <xdr:col>18</xdr:col>
      <xdr:colOff>381001</xdr:colOff>
      <xdr:row>129</xdr:row>
      <xdr:rowOff>57150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333375</xdr:colOff>
      <xdr:row>15</xdr:row>
      <xdr:rowOff>171450</xdr:rowOff>
    </xdr:from>
    <xdr:to>
      <xdr:col>8</xdr:col>
      <xdr:colOff>371475</xdr:colOff>
      <xdr:row>39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7</xdr:col>
      <xdr:colOff>104775</xdr:colOff>
      <xdr:row>14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2</xdr:row>
      <xdr:rowOff>95249</xdr:rowOff>
    </xdr:from>
    <xdr:to>
      <xdr:col>16</xdr:col>
      <xdr:colOff>57150</xdr:colOff>
      <xdr:row>22</xdr:row>
      <xdr:rowOff>142874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588735</xdr:colOff>
      <xdr:row>111</xdr:row>
      <xdr:rowOff>83457</xdr:rowOff>
    </xdr:from>
    <xdr:to>
      <xdr:col>20</xdr:col>
      <xdr:colOff>262164</xdr:colOff>
      <xdr:row>125</xdr:row>
      <xdr:rowOff>185057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275771</xdr:colOff>
      <xdr:row>61</xdr:row>
      <xdr:rowOff>21771</xdr:rowOff>
    </xdr:from>
    <xdr:to>
      <xdr:col>5</xdr:col>
      <xdr:colOff>711200</xdr:colOff>
      <xdr:row>75</xdr:row>
      <xdr:rowOff>123371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435429</xdr:colOff>
      <xdr:row>92</xdr:row>
      <xdr:rowOff>101600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357866</xdr:colOff>
      <xdr:row>92</xdr:row>
      <xdr:rowOff>163286</xdr:rowOff>
    </xdr:from>
    <xdr:to>
      <xdr:col>7</xdr:col>
      <xdr:colOff>27213</xdr:colOff>
      <xdr:row>110</xdr:row>
      <xdr:rowOff>185058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350156</xdr:colOff>
      <xdr:row>111</xdr:row>
      <xdr:rowOff>186871</xdr:rowOff>
    </xdr:from>
    <xdr:to>
      <xdr:col>7</xdr:col>
      <xdr:colOff>65313</xdr:colOff>
      <xdr:row>131</xdr:row>
      <xdr:rowOff>119743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333375</xdr:colOff>
      <xdr:row>28</xdr:row>
      <xdr:rowOff>152400</xdr:rowOff>
    </xdr:from>
    <xdr:to>
      <xdr:col>20</xdr:col>
      <xdr:colOff>495301</xdr:colOff>
      <xdr:row>51</xdr:row>
      <xdr:rowOff>19050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85725</xdr:colOff>
      <xdr:row>57</xdr:row>
      <xdr:rowOff>104775</xdr:rowOff>
    </xdr:from>
    <xdr:to>
      <xdr:col>19</xdr:col>
      <xdr:colOff>238126</xdr:colOff>
      <xdr:row>79</xdr:row>
      <xdr:rowOff>161925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83</xdr:row>
      <xdr:rowOff>0</xdr:rowOff>
    </xdr:from>
    <xdr:to>
      <xdr:col>18</xdr:col>
      <xdr:colOff>314325</xdr:colOff>
      <xdr:row>105</xdr:row>
      <xdr:rowOff>57150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</xdr:colOff>
      <xdr:row>107</xdr:row>
      <xdr:rowOff>0</xdr:rowOff>
    </xdr:from>
    <xdr:to>
      <xdr:col>18</xdr:col>
      <xdr:colOff>381001</xdr:colOff>
      <xdr:row>129</xdr:row>
      <xdr:rowOff>57150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333375</xdr:colOff>
      <xdr:row>15</xdr:row>
      <xdr:rowOff>171450</xdr:rowOff>
    </xdr:from>
    <xdr:to>
      <xdr:col>8</xdr:col>
      <xdr:colOff>371475</xdr:colOff>
      <xdr:row>39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</xdr:row>
      <xdr:rowOff>4762</xdr:rowOff>
    </xdr:from>
    <xdr:to>
      <xdr:col>11</xdr:col>
      <xdr:colOff>295275</xdr:colOff>
      <xdr:row>19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95251</xdr:rowOff>
    </xdr:from>
    <xdr:to>
      <xdr:col>15</xdr:col>
      <xdr:colOff>266700</xdr:colOff>
      <xdr:row>41</xdr:row>
      <xdr:rowOff>19051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38" t="9783" r="5672" b="7793"/>
        <a:stretch/>
      </xdr:blipFill>
      <xdr:spPr>
        <a:xfrm>
          <a:off x="180975" y="285751"/>
          <a:ext cx="11515725" cy="7543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43</xdr:row>
      <xdr:rowOff>19049</xdr:rowOff>
    </xdr:from>
    <xdr:to>
      <xdr:col>14</xdr:col>
      <xdr:colOff>295275</xdr:colOff>
      <xdr:row>68</xdr:row>
      <xdr:rowOff>85724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409" t="11443" r="27179" b="39801"/>
        <a:stretch/>
      </xdr:blipFill>
      <xdr:spPr>
        <a:xfrm>
          <a:off x="2476500" y="8210549"/>
          <a:ext cx="8486775" cy="4829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69</xdr:row>
      <xdr:rowOff>95250</xdr:rowOff>
    </xdr:from>
    <xdr:to>
      <xdr:col>13</xdr:col>
      <xdr:colOff>723900</xdr:colOff>
      <xdr:row>104</xdr:row>
      <xdr:rowOff>161926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358" t="6827" r="28897" b="25183"/>
        <a:stretch/>
      </xdr:blipFill>
      <xdr:spPr>
        <a:xfrm>
          <a:off x="2447925" y="13239750"/>
          <a:ext cx="8181975" cy="6734176"/>
        </a:xfrm>
        <a:prstGeom prst="rect">
          <a:avLst/>
        </a:prstGeom>
      </xdr:spPr>
    </xdr:pic>
    <xdr:clientData/>
  </xdr:twoCellAnchor>
  <xdr:twoCellAnchor editAs="oneCell">
    <xdr:from>
      <xdr:col>14</xdr:col>
      <xdr:colOff>619125</xdr:colOff>
      <xdr:row>49</xdr:row>
      <xdr:rowOff>85724</xdr:rowOff>
    </xdr:from>
    <xdr:to>
      <xdr:col>25</xdr:col>
      <xdr:colOff>381000</xdr:colOff>
      <xdr:row>74</xdr:row>
      <xdr:rowOff>47625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409" t="51545" r="29054" b="756"/>
        <a:stretch/>
      </xdr:blipFill>
      <xdr:spPr>
        <a:xfrm>
          <a:off x="11287125" y="9420224"/>
          <a:ext cx="8143875" cy="4724401"/>
        </a:xfrm>
        <a:prstGeom prst="rect">
          <a:avLst/>
        </a:prstGeom>
      </xdr:spPr>
    </xdr:pic>
    <xdr:clientData/>
  </xdr:twoCellAnchor>
  <xdr:twoCellAnchor>
    <xdr:from>
      <xdr:col>5</xdr:col>
      <xdr:colOff>752475</xdr:colOff>
      <xdr:row>1</xdr:row>
      <xdr:rowOff>47625</xdr:rowOff>
    </xdr:from>
    <xdr:to>
      <xdr:col>16</xdr:col>
      <xdr:colOff>0</xdr:colOff>
      <xdr:row>16</xdr:row>
      <xdr:rowOff>114300</xdr:rowOff>
    </xdr:to>
    <xdr:sp macro="" textlink="">
      <xdr:nvSpPr>
        <xdr:cNvPr id="3" name="Rectángulo 2"/>
        <xdr:cNvSpPr/>
      </xdr:nvSpPr>
      <xdr:spPr>
        <a:xfrm>
          <a:off x="4562475" y="238125"/>
          <a:ext cx="7629525" cy="2924175"/>
        </a:xfrm>
        <a:prstGeom prst="rect">
          <a:avLst/>
        </a:prstGeom>
        <a:solidFill>
          <a:srgbClr val="BFBFBF">
            <a:alpha val="16078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87245</xdr:colOff>
      <xdr:row>33</xdr:row>
      <xdr:rowOff>116382</xdr:rowOff>
    </xdr:to>
    <xdr:grpSp>
      <xdr:nvGrpSpPr>
        <xdr:cNvPr id="2" name="Grupo 1"/>
        <xdr:cNvGrpSpPr/>
      </xdr:nvGrpSpPr>
      <xdr:grpSpPr>
        <a:xfrm>
          <a:off x="762000" y="952500"/>
          <a:ext cx="9231245" cy="5450382"/>
          <a:chOff x="711481" y="489777"/>
          <a:chExt cx="10868486" cy="5451413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361294" y="638261"/>
            <a:ext cx="513056" cy="907010"/>
          </a:xfrm>
          <a:prstGeom prst="rect">
            <a:avLst/>
          </a:prstGeom>
        </xdr:spPr>
      </xdr:pic>
      <xdr:sp macro="" textlink="">
        <xdr:nvSpPr>
          <xdr:cNvPr id="4" name="Rectángulo 3"/>
          <xdr:cNvSpPr/>
        </xdr:nvSpPr>
        <xdr:spPr>
          <a:xfrm>
            <a:off x="711481" y="5317797"/>
            <a:ext cx="885563" cy="43673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Huaweii</a:t>
            </a:r>
          </a:p>
          <a:p>
            <a:pPr algn="ctr"/>
            <a:r>
              <a:rPr lang="es-PE" sz="1000"/>
              <a:t>CC08</a:t>
            </a:r>
          </a:p>
        </xdr:txBody>
      </xdr:sp>
      <xdr:sp macro="" textlink="">
        <xdr:nvSpPr>
          <xdr:cNvPr id="5" name="Rectángulo 4"/>
          <xdr:cNvSpPr/>
        </xdr:nvSpPr>
        <xdr:spPr>
          <a:xfrm>
            <a:off x="1913822" y="2132745"/>
            <a:ext cx="1004393" cy="450642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SoftSwitch</a:t>
            </a:r>
          </a:p>
          <a:p>
            <a:pPr algn="ctr"/>
            <a:r>
              <a:rPr lang="es-PE" sz="1000"/>
              <a:t>Peru (SX)</a:t>
            </a:r>
          </a:p>
        </xdr:txBody>
      </xdr:sp>
      <xdr:sp macro="" textlink="">
        <xdr:nvSpPr>
          <xdr:cNvPr id="6" name="Rectángulo 5"/>
          <xdr:cNvSpPr/>
        </xdr:nvSpPr>
        <xdr:spPr>
          <a:xfrm>
            <a:off x="4481013" y="489777"/>
            <a:ext cx="821358" cy="438667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TASAMEP</a:t>
            </a:r>
          </a:p>
          <a:p>
            <a:pPr algn="ctr"/>
            <a:r>
              <a:rPr lang="es-PE" sz="1000"/>
              <a:t>(FTP)</a:t>
            </a:r>
          </a:p>
        </xdr:txBody>
      </xdr:sp>
      <xdr:sp macro="" textlink="">
        <xdr:nvSpPr>
          <xdr:cNvPr id="7" name="Rectángulo 6"/>
          <xdr:cNvSpPr/>
        </xdr:nvSpPr>
        <xdr:spPr>
          <a:xfrm>
            <a:off x="8020740" y="541067"/>
            <a:ext cx="1063176" cy="496967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SELENE</a:t>
            </a:r>
          </a:p>
          <a:p>
            <a:pPr algn="ctr"/>
            <a:r>
              <a:rPr lang="es-PE" sz="1000"/>
              <a:t>(MEDIADR)</a:t>
            </a:r>
          </a:p>
        </xdr:txBody>
      </xdr:sp>
      <xdr:cxnSp macro="">
        <xdr:nvCxnSpPr>
          <xdr:cNvPr id="8" name="Conector recto de flecha 7"/>
          <xdr:cNvCxnSpPr/>
        </xdr:nvCxnSpPr>
        <xdr:spPr>
          <a:xfrm>
            <a:off x="5980378" y="1108415"/>
            <a:ext cx="3153431" cy="11078"/>
          </a:xfrm>
          <a:prstGeom prst="straightConnector1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Conector angular 8"/>
          <xdr:cNvCxnSpPr>
            <a:endCxn id="17" idx="0"/>
          </xdr:cNvCxnSpPr>
        </xdr:nvCxnSpPr>
        <xdr:spPr>
          <a:xfrm rot="5400000">
            <a:off x="7355776" y="1757090"/>
            <a:ext cx="2247549" cy="1208737"/>
          </a:xfrm>
          <a:prstGeom prst="bentConnector3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Rectángulo 9"/>
          <xdr:cNvSpPr/>
        </xdr:nvSpPr>
        <xdr:spPr>
          <a:xfrm>
            <a:off x="4287075" y="1811246"/>
            <a:ext cx="822147" cy="578039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SAF</a:t>
            </a:r>
          </a:p>
          <a:p>
            <a:pPr algn="ctr"/>
            <a:r>
              <a:rPr lang="es-PE" sz="1000"/>
              <a:t>(EMISION DE FACT.)</a:t>
            </a:r>
          </a:p>
        </xdr:txBody>
      </xdr: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374671" y="1743497"/>
            <a:ext cx="907154" cy="842025"/>
          </a:xfrm>
          <a:prstGeom prst="rect">
            <a:avLst/>
          </a:prstGeom>
        </xdr:spPr>
      </xdr:pic>
      <xdr:cxnSp macro="">
        <xdr:nvCxnSpPr>
          <xdr:cNvPr id="12" name="Conector angular 11"/>
          <xdr:cNvCxnSpPr/>
        </xdr:nvCxnSpPr>
        <xdr:spPr>
          <a:xfrm flipV="1">
            <a:off x="1964417" y="1117987"/>
            <a:ext cx="3337954" cy="1538240"/>
          </a:xfrm>
          <a:prstGeom prst="bentConnector3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14517" y="2266013"/>
            <a:ext cx="646876" cy="958898"/>
          </a:xfrm>
          <a:prstGeom prst="rect">
            <a:avLst/>
          </a:prstGeom>
        </xdr:spPr>
      </xdr:pic>
      <xdr:pic>
        <xdr:nvPicPr>
          <xdr:cNvPr id="14" name="Imagen 1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14517" y="4233940"/>
            <a:ext cx="646876" cy="958898"/>
          </a:xfrm>
          <a:prstGeom prst="rect">
            <a:avLst/>
          </a:prstGeom>
        </xdr:spPr>
      </xdr:pic>
      <xdr:grpSp>
        <xdr:nvGrpSpPr>
          <xdr:cNvPr id="15" name="Grupo 14"/>
          <xdr:cNvGrpSpPr/>
        </xdr:nvGrpSpPr>
        <xdr:grpSpPr>
          <a:xfrm>
            <a:off x="1978432" y="1301162"/>
            <a:ext cx="3323939" cy="3290846"/>
            <a:chOff x="1978432" y="1301162"/>
            <a:chExt cx="3323939" cy="3290846"/>
          </a:xfrm>
        </xdr:grpSpPr>
        <xdr:cxnSp macro="">
          <xdr:nvCxnSpPr>
            <xdr:cNvPr id="52" name="Conector angular 51"/>
            <xdr:cNvCxnSpPr/>
          </xdr:nvCxnSpPr>
          <xdr:spPr>
            <a:xfrm rot="5400000" flipH="1" flipV="1">
              <a:off x="1246313" y="2033282"/>
              <a:ext cx="3290845" cy="1826608"/>
            </a:xfrm>
            <a:prstGeom prst="bentConnector3">
              <a:avLst>
                <a:gd name="adj1" fmla="val 50000"/>
              </a:avLst>
            </a:prstGeom>
            <a:ln w="25400">
              <a:solidFill>
                <a:srgbClr val="00B050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Conector recto de flecha 52"/>
            <xdr:cNvCxnSpPr/>
          </xdr:nvCxnSpPr>
          <xdr:spPr>
            <a:xfrm>
              <a:off x="3805039" y="1301162"/>
              <a:ext cx="1497332" cy="0"/>
            </a:xfrm>
            <a:prstGeom prst="straightConnector1">
              <a:avLst/>
            </a:prstGeom>
            <a:ln w="25400">
              <a:solidFill>
                <a:srgbClr val="00B05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" name="Rectángulo 15"/>
          <xdr:cNvSpPr/>
        </xdr:nvSpPr>
        <xdr:spPr>
          <a:xfrm>
            <a:off x="8155313" y="3392691"/>
            <a:ext cx="865590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ERIS (BD)</a:t>
            </a:r>
          </a:p>
        </xdr:txBody>
      </xdr:sp>
      <xdr:pic>
        <xdr:nvPicPr>
          <xdr:cNvPr id="17" name="Imagen 1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18653" y="3485233"/>
            <a:ext cx="513056" cy="907010"/>
          </a:xfrm>
          <a:prstGeom prst="rect">
            <a:avLst/>
          </a:prstGeom>
        </xdr:spPr>
      </xdr:pic>
      <xdr:sp macro="" textlink="">
        <xdr:nvSpPr>
          <xdr:cNvPr id="18" name="Disco magnético 17"/>
          <xdr:cNvSpPr/>
        </xdr:nvSpPr>
        <xdr:spPr>
          <a:xfrm>
            <a:off x="8244650" y="3798324"/>
            <a:ext cx="721626" cy="504126"/>
          </a:xfrm>
          <a:prstGeom prst="flowChartMagneticDisk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Billing On Line</a:t>
            </a:r>
          </a:p>
        </xdr:txBody>
      </xdr:sp>
      <xdr:sp macro="" textlink="">
        <xdr:nvSpPr>
          <xdr:cNvPr id="19" name="Disco magnético 18"/>
          <xdr:cNvSpPr/>
        </xdr:nvSpPr>
        <xdr:spPr>
          <a:xfrm>
            <a:off x="8256373" y="4326553"/>
            <a:ext cx="721626" cy="504126"/>
          </a:xfrm>
          <a:prstGeom prst="flowChartMagneticDisk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Portabl.</a:t>
            </a:r>
          </a:p>
        </xdr:txBody>
      </xdr:sp>
      <xdr:pic>
        <xdr:nvPicPr>
          <xdr:cNvPr id="20" name="Imagen 1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180537" y="584529"/>
            <a:ext cx="614792" cy="90701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87321" y="1790632"/>
            <a:ext cx="614792" cy="907010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075801" y="3780435"/>
            <a:ext cx="513056" cy="907010"/>
          </a:xfrm>
          <a:prstGeom prst="rect">
            <a:avLst/>
          </a:prstGeom>
        </xdr:spPr>
      </xdr:pic>
      <xdr:pic>
        <xdr:nvPicPr>
          <xdr:cNvPr id="23" name="Imagen 2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053765" y="4739333"/>
            <a:ext cx="513056" cy="907010"/>
          </a:xfrm>
          <a:prstGeom prst="rect">
            <a:avLst/>
          </a:prstGeom>
        </xdr:spPr>
      </xdr:pic>
      <xdr:sp macro="" textlink="">
        <xdr:nvSpPr>
          <xdr:cNvPr id="24" name="Rectángulo 23"/>
          <xdr:cNvSpPr/>
        </xdr:nvSpPr>
        <xdr:spPr>
          <a:xfrm>
            <a:off x="3582227" y="3720371"/>
            <a:ext cx="885563" cy="43673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SymWay01</a:t>
            </a:r>
          </a:p>
        </xdr:txBody>
      </xdr:sp>
      <xdr:sp macro="" textlink="">
        <xdr:nvSpPr>
          <xdr:cNvPr id="25" name="Rectángulo 24"/>
          <xdr:cNvSpPr/>
        </xdr:nvSpPr>
        <xdr:spPr>
          <a:xfrm>
            <a:off x="3576218" y="4830171"/>
            <a:ext cx="885563" cy="43673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SymWay02</a:t>
            </a:r>
          </a:p>
        </xdr:txBody>
      </xdr:sp>
      <xdr:sp macro="" textlink="">
        <xdr:nvSpPr>
          <xdr:cNvPr id="26" name="Abrir llave 25"/>
          <xdr:cNvSpPr/>
        </xdr:nvSpPr>
        <xdr:spPr>
          <a:xfrm>
            <a:off x="2898827" y="3809580"/>
            <a:ext cx="118591" cy="1755729"/>
          </a:xfrm>
          <a:prstGeom prst="leftBrac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grpSp>
        <xdr:nvGrpSpPr>
          <xdr:cNvPr id="27" name="Grupo 26"/>
          <xdr:cNvGrpSpPr/>
        </xdr:nvGrpSpPr>
        <xdr:grpSpPr>
          <a:xfrm>
            <a:off x="1964417" y="2808627"/>
            <a:ext cx="740432" cy="1783381"/>
            <a:chOff x="1964417" y="2808626"/>
            <a:chExt cx="740432" cy="1904762"/>
          </a:xfrm>
        </xdr:grpSpPr>
        <xdr:cxnSp macro="">
          <xdr:nvCxnSpPr>
            <xdr:cNvPr id="50" name="Conector angular 49"/>
            <xdr:cNvCxnSpPr/>
          </xdr:nvCxnSpPr>
          <xdr:spPr>
            <a:xfrm rot="16200000" flipH="1">
              <a:off x="1458452" y="3466990"/>
              <a:ext cx="1904762" cy="588033"/>
            </a:xfrm>
            <a:prstGeom prst="bentConnector3">
              <a:avLst>
                <a:gd name="adj1" fmla="val 50000"/>
              </a:avLst>
            </a:prstGeom>
            <a:ln w="25400">
              <a:solidFill>
                <a:schemeClr val="accent2">
                  <a:lumMod val="75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Conector recto 50"/>
            <xdr:cNvCxnSpPr/>
          </xdr:nvCxnSpPr>
          <xdr:spPr>
            <a:xfrm>
              <a:off x="1964417" y="2808626"/>
              <a:ext cx="152399" cy="0"/>
            </a:xfrm>
            <a:prstGeom prst="line">
              <a:avLst/>
            </a:prstGeom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8" name="Conector recto de flecha 27"/>
          <xdr:cNvCxnSpPr/>
        </xdr:nvCxnSpPr>
        <xdr:spPr>
          <a:xfrm>
            <a:off x="1978430" y="4739333"/>
            <a:ext cx="726419" cy="0"/>
          </a:xfrm>
          <a:prstGeom prst="straightConnector1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Cerrar llave 28"/>
          <xdr:cNvSpPr/>
        </xdr:nvSpPr>
        <xdr:spPr>
          <a:xfrm>
            <a:off x="4538785" y="3809580"/>
            <a:ext cx="164123" cy="1755729"/>
          </a:xfrm>
          <a:prstGeom prst="rightBrac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pic>
        <xdr:nvPicPr>
          <xdr:cNvPr id="30" name="Imagen 2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07288" y="3703600"/>
            <a:ext cx="513056" cy="907010"/>
          </a:xfrm>
          <a:prstGeom prst="rect">
            <a:avLst/>
          </a:prstGeom>
        </xdr:spPr>
      </xdr:pic>
      <xdr:pic>
        <xdr:nvPicPr>
          <xdr:cNvPr id="31" name="Imagen 3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07288" y="4782117"/>
            <a:ext cx="513056" cy="907010"/>
          </a:xfrm>
          <a:prstGeom prst="rect">
            <a:avLst/>
          </a:prstGeom>
        </xdr:spPr>
      </xdr:pic>
      <xdr:sp macro="" textlink="">
        <xdr:nvSpPr>
          <xdr:cNvPr id="32" name="Rectángulo 31"/>
          <xdr:cNvSpPr/>
        </xdr:nvSpPr>
        <xdr:spPr>
          <a:xfrm>
            <a:off x="5720344" y="3680824"/>
            <a:ext cx="965424" cy="437208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PERSEFONE</a:t>
            </a:r>
          </a:p>
          <a:p>
            <a:pPr algn="ctr"/>
            <a:r>
              <a:rPr lang="es-PE" sz="1000"/>
              <a:t>1977/PlanCtrl</a:t>
            </a:r>
          </a:p>
        </xdr:txBody>
      </xdr:sp>
      <xdr:sp macro="" textlink="">
        <xdr:nvSpPr>
          <xdr:cNvPr id="33" name="Rectángulo 32"/>
          <xdr:cNvSpPr/>
        </xdr:nvSpPr>
        <xdr:spPr>
          <a:xfrm>
            <a:off x="5720344" y="4825788"/>
            <a:ext cx="865590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ZAGREO</a:t>
            </a:r>
          </a:p>
          <a:p>
            <a:pPr algn="ctr"/>
            <a:r>
              <a:rPr lang="es-PE" sz="1000"/>
              <a:t>1577</a:t>
            </a:r>
          </a:p>
        </xdr:txBody>
      </xdr:sp>
      <xdr:cxnSp macro="">
        <xdr:nvCxnSpPr>
          <xdr:cNvPr id="34" name="Conector recto de flecha 33"/>
          <xdr:cNvCxnSpPr/>
        </xdr:nvCxnSpPr>
        <xdr:spPr>
          <a:xfrm>
            <a:off x="5988904" y="2055141"/>
            <a:ext cx="4319481" cy="45124"/>
          </a:xfrm>
          <a:prstGeom prst="straightConnector1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35" name="Imagen 3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05457" y="4905606"/>
            <a:ext cx="513056" cy="907010"/>
          </a:xfrm>
          <a:prstGeom prst="rect">
            <a:avLst/>
          </a:prstGeom>
        </xdr:spPr>
      </xdr:pic>
      <xdr:sp macro="" textlink="">
        <xdr:nvSpPr>
          <xdr:cNvPr id="36" name="Rectángulo 35"/>
          <xdr:cNvSpPr/>
        </xdr:nvSpPr>
        <xdr:spPr>
          <a:xfrm>
            <a:off x="8244650" y="5025490"/>
            <a:ext cx="865590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AMPP (BD)</a:t>
            </a:r>
          </a:p>
        </xdr:txBody>
      </xdr:sp>
      <xdr:sp macro="" textlink="">
        <xdr:nvSpPr>
          <xdr:cNvPr id="37" name="Disco magnético 36"/>
          <xdr:cNvSpPr/>
        </xdr:nvSpPr>
        <xdr:spPr>
          <a:xfrm>
            <a:off x="8257295" y="5437064"/>
            <a:ext cx="763607" cy="504126"/>
          </a:xfrm>
          <a:prstGeom prst="flowChartMagneticDisk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1977/1577</a:t>
            </a:r>
          </a:p>
        </xdr:txBody>
      </xdr:sp>
      <xdr:sp macro="" textlink="">
        <xdr:nvSpPr>
          <xdr:cNvPr id="38" name="Cerrar llave 37"/>
          <xdr:cNvSpPr/>
        </xdr:nvSpPr>
        <xdr:spPr>
          <a:xfrm>
            <a:off x="6739867" y="3809579"/>
            <a:ext cx="164123" cy="1755729"/>
          </a:xfrm>
          <a:prstGeom prst="rightBrac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cxnSp macro="">
        <xdr:nvCxnSpPr>
          <xdr:cNvPr id="39" name="Conector angular 38"/>
          <xdr:cNvCxnSpPr>
            <a:endCxn id="17" idx="1"/>
          </xdr:cNvCxnSpPr>
        </xdr:nvCxnSpPr>
        <xdr:spPr>
          <a:xfrm rot="5400000" flipH="1" flipV="1">
            <a:off x="6963934" y="4032727"/>
            <a:ext cx="748708" cy="560730"/>
          </a:xfrm>
          <a:prstGeom prst="bentConnector2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Conector angular 39"/>
          <xdr:cNvCxnSpPr>
            <a:endCxn id="35" idx="1"/>
          </xdr:cNvCxnSpPr>
        </xdr:nvCxnSpPr>
        <xdr:spPr>
          <a:xfrm rot="16200000" flipH="1">
            <a:off x="7016484" y="4770138"/>
            <a:ext cx="645724" cy="532221"/>
          </a:xfrm>
          <a:prstGeom prst="bentConnector2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Conector angular 40"/>
          <xdr:cNvCxnSpPr>
            <a:endCxn id="30" idx="1"/>
          </xdr:cNvCxnSpPr>
        </xdr:nvCxnSpPr>
        <xdr:spPr>
          <a:xfrm rot="5400000" flipH="1" flipV="1">
            <a:off x="4784321" y="4264476"/>
            <a:ext cx="530338" cy="315596"/>
          </a:xfrm>
          <a:prstGeom prst="bentConnector2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Conector angular 41"/>
          <xdr:cNvCxnSpPr/>
        </xdr:nvCxnSpPr>
        <xdr:spPr>
          <a:xfrm rot="16200000" flipH="1">
            <a:off x="4741592" y="4902830"/>
            <a:ext cx="641555" cy="341346"/>
          </a:xfrm>
          <a:prstGeom prst="bentConnector3">
            <a:avLst>
              <a:gd name="adj1" fmla="val 50000"/>
            </a:avLst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Conector angular 42"/>
          <xdr:cNvCxnSpPr/>
        </xdr:nvCxnSpPr>
        <xdr:spPr>
          <a:xfrm rot="10800000">
            <a:off x="5988907" y="2266016"/>
            <a:ext cx="1616553" cy="1437587"/>
          </a:xfrm>
          <a:prstGeom prst="bentConnector3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4" name="Imagen 4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484092" y="4186832"/>
            <a:ext cx="513056" cy="907010"/>
          </a:xfrm>
          <a:prstGeom prst="rect">
            <a:avLst/>
          </a:prstGeom>
        </xdr:spPr>
      </xdr:pic>
      <xdr:sp macro="" textlink="">
        <xdr:nvSpPr>
          <xdr:cNvPr id="45" name="Rectángulo 44"/>
          <xdr:cNvSpPr/>
        </xdr:nvSpPr>
        <xdr:spPr>
          <a:xfrm>
            <a:off x="9528386" y="5097998"/>
            <a:ext cx="937523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Montreal(BD)</a:t>
            </a:r>
          </a:p>
        </xdr:txBody>
      </xdr:sp>
      <xdr:sp macro="" textlink="">
        <xdr:nvSpPr>
          <xdr:cNvPr id="46" name="Cerrar llave 45"/>
          <xdr:cNvSpPr/>
        </xdr:nvSpPr>
        <xdr:spPr>
          <a:xfrm>
            <a:off x="9187728" y="3809579"/>
            <a:ext cx="164123" cy="1755729"/>
          </a:xfrm>
          <a:prstGeom prst="rightBrac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pic>
        <xdr:nvPicPr>
          <xdr:cNvPr id="47" name="Imagen 4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677594" y="4179989"/>
            <a:ext cx="513056" cy="907010"/>
          </a:xfrm>
          <a:prstGeom prst="rect">
            <a:avLst/>
          </a:prstGeom>
        </xdr:spPr>
      </xdr:pic>
      <xdr:sp macro="" textlink="">
        <xdr:nvSpPr>
          <xdr:cNvPr id="48" name="Rectángulo 47"/>
          <xdr:cNvSpPr/>
        </xdr:nvSpPr>
        <xdr:spPr>
          <a:xfrm>
            <a:off x="10642444" y="5101241"/>
            <a:ext cx="937523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Pandora</a:t>
            </a:r>
          </a:p>
        </xdr:txBody>
      </xdr:sp>
      <xdr:cxnSp macro="">
        <xdr:nvCxnSpPr>
          <xdr:cNvPr id="49" name="Conector recto de flecha 48"/>
          <xdr:cNvCxnSpPr/>
        </xdr:nvCxnSpPr>
        <xdr:spPr>
          <a:xfrm flipV="1">
            <a:off x="10029385" y="4687444"/>
            <a:ext cx="613059" cy="5707"/>
          </a:xfrm>
          <a:prstGeom prst="straightConnector1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495300</xdr:colOff>
      <xdr:row>0</xdr:row>
      <xdr:rowOff>0</xdr:rowOff>
    </xdr:from>
    <xdr:to>
      <xdr:col>22</xdr:col>
      <xdr:colOff>571500</xdr:colOff>
      <xdr:row>42</xdr:row>
      <xdr:rowOff>114300</xdr:rowOff>
    </xdr:to>
    <xdr:pic>
      <xdr:nvPicPr>
        <xdr:cNvPr id="54" name="Imagen 5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594" t="9783" r="15026" b="1549"/>
        <a:stretch/>
      </xdr:blipFill>
      <xdr:spPr>
        <a:xfrm>
          <a:off x="10401300" y="0"/>
          <a:ext cx="6934200" cy="8115300"/>
        </a:xfrm>
        <a:prstGeom prst="rect">
          <a:avLst/>
        </a:prstGeom>
      </xdr:spPr>
    </xdr:pic>
    <xdr:clientData/>
  </xdr:twoCellAnchor>
  <xdr:twoCellAnchor>
    <xdr:from>
      <xdr:col>5</xdr:col>
      <xdr:colOff>342900</xdr:colOff>
      <xdr:row>2</xdr:row>
      <xdr:rowOff>9525</xdr:rowOff>
    </xdr:from>
    <xdr:to>
      <xdr:col>6</xdr:col>
      <xdr:colOff>0</xdr:colOff>
      <xdr:row>4</xdr:row>
      <xdr:rowOff>19050</xdr:rowOff>
    </xdr:to>
    <xdr:sp macro="" textlink="">
      <xdr:nvSpPr>
        <xdr:cNvPr id="55" name="Más 54"/>
        <xdr:cNvSpPr/>
      </xdr:nvSpPr>
      <xdr:spPr>
        <a:xfrm>
          <a:off x="4152900" y="390525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171450</xdr:colOff>
      <xdr:row>15</xdr:row>
      <xdr:rowOff>114300</xdr:rowOff>
    </xdr:from>
    <xdr:to>
      <xdr:col>5</xdr:col>
      <xdr:colOff>590550</xdr:colOff>
      <xdr:row>17</xdr:row>
      <xdr:rowOff>123825</xdr:rowOff>
    </xdr:to>
    <xdr:sp macro="" textlink="">
      <xdr:nvSpPr>
        <xdr:cNvPr id="57" name="Más 56"/>
        <xdr:cNvSpPr/>
      </xdr:nvSpPr>
      <xdr:spPr>
        <a:xfrm>
          <a:off x="3981450" y="2971800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352425</xdr:colOff>
      <xdr:row>2</xdr:row>
      <xdr:rowOff>171450</xdr:rowOff>
    </xdr:from>
    <xdr:to>
      <xdr:col>10</xdr:col>
      <xdr:colOff>9525</xdr:colOff>
      <xdr:row>4</xdr:row>
      <xdr:rowOff>180975</xdr:rowOff>
    </xdr:to>
    <xdr:sp macro="" textlink="">
      <xdr:nvSpPr>
        <xdr:cNvPr id="58" name="Más 57"/>
        <xdr:cNvSpPr/>
      </xdr:nvSpPr>
      <xdr:spPr>
        <a:xfrm>
          <a:off x="7210425" y="552450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342900</xdr:colOff>
      <xdr:row>18</xdr:row>
      <xdr:rowOff>0</xdr:rowOff>
    </xdr:from>
    <xdr:to>
      <xdr:col>10</xdr:col>
      <xdr:colOff>0</xdr:colOff>
      <xdr:row>20</xdr:row>
      <xdr:rowOff>9525</xdr:rowOff>
    </xdr:to>
    <xdr:sp macro="" textlink="">
      <xdr:nvSpPr>
        <xdr:cNvPr id="59" name="Más 58"/>
        <xdr:cNvSpPr/>
      </xdr:nvSpPr>
      <xdr:spPr>
        <a:xfrm>
          <a:off x="7200900" y="3429000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342900</xdr:colOff>
      <xdr:row>34</xdr:row>
      <xdr:rowOff>85725</xdr:rowOff>
    </xdr:from>
    <xdr:to>
      <xdr:col>10</xdr:col>
      <xdr:colOff>0</xdr:colOff>
      <xdr:row>36</xdr:row>
      <xdr:rowOff>95250</xdr:rowOff>
    </xdr:to>
    <xdr:sp macro="" textlink="">
      <xdr:nvSpPr>
        <xdr:cNvPr id="60" name="Más 59"/>
        <xdr:cNvSpPr/>
      </xdr:nvSpPr>
      <xdr:spPr>
        <a:xfrm>
          <a:off x="7200900" y="6562725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323850</xdr:colOff>
      <xdr:row>17</xdr:row>
      <xdr:rowOff>152400</xdr:rowOff>
    </xdr:from>
    <xdr:to>
      <xdr:col>13</xdr:col>
      <xdr:colOff>447675</xdr:colOff>
      <xdr:row>38</xdr:row>
      <xdr:rowOff>19050</xdr:rowOff>
    </xdr:to>
    <xdr:sp macro="" textlink="">
      <xdr:nvSpPr>
        <xdr:cNvPr id="61" name="Rectángulo 60"/>
        <xdr:cNvSpPr/>
      </xdr:nvSpPr>
      <xdr:spPr>
        <a:xfrm>
          <a:off x="6419850" y="3390900"/>
          <a:ext cx="3933825" cy="3867150"/>
        </a:xfrm>
        <a:prstGeom prst="rect">
          <a:avLst/>
        </a:pr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21</xdr:col>
      <xdr:colOff>360022</xdr:colOff>
      <xdr:row>48</xdr:row>
      <xdr:rowOff>17905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0"/>
          <a:ext cx="15419047" cy="9161905"/>
        </a:xfrm>
        <a:prstGeom prst="rect">
          <a:avLst/>
        </a:prstGeom>
      </xdr:spPr>
    </xdr:pic>
    <xdr:clientData/>
  </xdr:twoCellAnchor>
  <xdr:twoCellAnchor editAs="oneCell">
    <xdr:from>
      <xdr:col>21</xdr:col>
      <xdr:colOff>438150</xdr:colOff>
      <xdr:row>0</xdr:row>
      <xdr:rowOff>0</xdr:rowOff>
    </xdr:from>
    <xdr:to>
      <xdr:col>41</xdr:col>
      <xdr:colOff>617197</xdr:colOff>
      <xdr:row>48</xdr:row>
      <xdr:rowOff>17905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40150" y="0"/>
          <a:ext cx="15419047" cy="91619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19051</xdr:rowOff>
    </xdr:from>
    <xdr:to>
      <xdr:col>11</xdr:col>
      <xdr:colOff>28485</xdr:colOff>
      <xdr:row>40</xdr:row>
      <xdr:rowOff>152401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16" t="18317" r="11931" b="5191"/>
        <a:stretch/>
      </xdr:blipFill>
      <xdr:spPr>
        <a:xfrm>
          <a:off x="1" y="1924051"/>
          <a:ext cx="8410484" cy="584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10</xdr:row>
      <xdr:rowOff>47625</xdr:rowOff>
    </xdr:from>
    <xdr:to>
      <xdr:col>21</xdr:col>
      <xdr:colOff>64819</xdr:colOff>
      <xdr:row>40</xdr:row>
      <xdr:rowOff>19050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383" t="16546" r="13299" b="7065"/>
        <a:stretch/>
      </xdr:blipFill>
      <xdr:spPr>
        <a:xfrm>
          <a:off x="8172450" y="1952625"/>
          <a:ext cx="7894369" cy="5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40</xdr:row>
      <xdr:rowOff>133351</xdr:rowOff>
    </xdr:from>
    <xdr:to>
      <xdr:col>10</xdr:col>
      <xdr:colOff>180975</xdr:colOff>
      <xdr:row>70</xdr:row>
      <xdr:rowOff>75937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893" t="21439" r="14954" b="3318"/>
        <a:stretch/>
      </xdr:blipFill>
      <xdr:spPr>
        <a:xfrm>
          <a:off x="171450" y="7753351"/>
          <a:ext cx="7629525" cy="56575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581025</xdr:colOff>
      <xdr:row>36</xdr:row>
      <xdr:rowOff>74082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"/>
          <a:ext cx="10487025" cy="6170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Dark_Knight\Documents\C:\Users\Dark_Knight\Desktop\F&amp;R\05%20Revision%20de%20Modelos\Z:\00%20Cargos\F&amp;R\Antecedentes\Fija\Modelo%20OSIPTEL\Final\C.666-GCC-2012%20Modelo%20F&amp;R%20TDP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view="pageBreakPreview" topLeftCell="A2" zoomScale="80" zoomScaleNormal="120" zoomScaleSheetLayoutView="80" zoomScalePageLayoutView="120" workbookViewId="0">
      <selection activeCell="H46" sqref="H46"/>
    </sheetView>
  </sheetViews>
  <sheetFormatPr baseColWidth="10" defaultColWidth="10.85546875" defaultRowHeight="15"/>
  <cols>
    <col min="1" max="1" width="13.85546875" style="340" bestFit="1" customWidth="1"/>
    <col min="2" max="2" width="3.42578125" style="340" bestFit="1" customWidth="1"/>
    <col min="3" max="3" width="12" style="340" bestFit="1" customWidth="1"/>
    <col min="4" max="4" width="12.140625" style="12" customWidth="1"/>
    <col min="5" max="5" width="55.140625" style="12" customWidth="1"/>
    <col min="6" max="6" width="13.28515625" style="12" customWidth="1"/>
    <col min="7" max="7" width="10.140625" style="12" customWidth="1"/>
    <col min="8" max="9" width="14" style="13" customWidth="1"/>
    <col min="10" max="10" width="13.85546875" style="23" customWidth="1"/>
    <col min="11" max="11" width="37.140625" style="13" customWidth="1"/>
    <col min="12" max="12" width="31.7109375" style="13" customWidth="1"/>
    <col min="13" max="13" width="4.85546875" style="83" customWidth="1"/>
    <col min="14" max="16384" width="10.85546875" style="12"/>
  </cols>
  <sheetData>
    <row r="1" spans="1:18" hidden="1">
      <c r="C1" s="505"/>
      <c r="D1" s="503"/>
      <c r="E1" s="15"/>
      <c r="F1" s="15"/>
      <c r="G1" s="15"/>
      <c r="H1" s="88"/>
      <c r="I1" s="88"/>
      <c r="J1" s="20"/>
      <c r="K1" s="79"/>
      <c r="L1" s="86"/>
    </row>
    <row r="2" spans="1:18" s="328" customFormat="1">
      <c r="A2" s="340"/>
      <c r="B2" s="340"/>
      <c r="C2" s="505"/>
      <c r="D2" s="530"/>
      <c r="E2" s="15"/>
      <c r="F2" s="15"/>
      <c r="G2" s="15"/>
      <c r="H2" s="506"/>
      <c r="I2" s="506"/>
      <c r="J2" s="20"/>
      <c r="K2" s="506"/>
      <c r="L2" s="506"/>
      <c r="M2" s="83"/>
    </row>
    <row r="3" spans="1:18" s="338" customFormat="1" ht="17.25" customHeight="1">
      <c r="A3" s="500"/>
      <c r="B3" s="500"/>
      <c r="C3" s="500"/>
      <c r="D3" s="517" t="s">
        <v>400</v>
      </c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</row>
    <row r="4" spans="1:18">
      <c r="D4" s="15"/>
      <c r="E4" s="15"/>
      <c r="F4" s="15"/>
      <c r="G4" s="15"/>
      <c r="H4" s="88"/>
      <c r="I4" s="88"/>
      <c r="J4" s="20"/>
      <c r="K4" s="79"/>
      <c r="L4" s="86"/>
    </row>
    <row r="5" spans="1:18" ht="15.75" thickBot="1">
      <c r="D5" s="15"/>
      <c r="E5" s="15"/>
      <c r="F5" s="15"/>
      <c r="G5" s="15"/>
      <c r="H5" s="88"/>
      <c r="I5" s="88"/>
      <c r="J5" s="20"/>
      <c r="K5" s="79"/>
      <c r="L5" s="86"/>
    </row>
    <row r="6" spans="1:18" ht="56.25">
      <c r="A6" s="502"/>
      <c r="B6" s="502"/>
      <c r="C6" s="502"/>
      <c r="D6" s="645" t="s">
        <v>13</v>
      </c>
      <c r="E6" s="646" t="s">
        <v>14</v>
      </c>
      <c r="F6" s="646" t="s">
        <v>15</v>
      </c>
      <c r="G6" s="646" t="s">
        <v>4</v>
      </c>
      <c r="H6" s="654" t="s">
        <v>151</v>
      </c>
      <c r="I6" s="654" t="s">
        <v>125</v>
      </c>
      <c r="J6" s="655" t="s">
        <v>112</v>
      </c>
      <c r="K6" s="655" t="s">
        <v>37</v>
      </c>
      <c r="L6" s="656" t="s">
        <v>121</v>
      </c>
    </row>
    <row r="7" spans="1:18" s="10" customFormat="1" ht="19.5" thickBot="1">
      <c r="A7" s="504"/>
      <c r="B7" s="504"/>
      <c r="C7" s="504"/>
      <c r="D7" s="850" t="s">
        <v>377</v>
      </c>
      <c r="E7" s="851"/>
      <c r="F7" s="851"/>
      <c r="G7" s="651"/>
      <c r="H7" s="651"/>
      <c r="I7" s="652"/>
      <c r="J7" s="651">
        <f>SUM(J8:J9)</f>
        <v>4000000</v>
      </c>
      <c r="K7" s="652"/>
      <c r="L7" s="657"/>
      <c r="M7" s="92"/>
    </row>
    <row r="8" spans="1:18" s="10" customFormat="1">
      <c r="A8" s="504"/>
      <c r="B8" s="504"/>
      <c r="C8" s="504"/>
      <c r="D8" s="761" t="s">
        <v>378</v>
      </c>
      <c r="E8" s="762" t="s">
        <v>380</v>
      </c>
      <c r="F8" s="763">
        <v>1000000</v>
      </c>
      <c r="G8" s="764" t="s">
        <v>8</v>
      </c>
      <c r="H8" s="765">
        <v>1</v>
      </c>
      <c r="I8" s="766">
        <v>0.4</v>
      </c>
      <c r="J8" s="763">
        <f>PRODUCT(F8,H8,I8)</f>
        <v>400000</v>
      </c>
      <c r="K8" s="764"/>
      <c r="L8" s="767"/>
      <c r="M8" s="92"/>
    </row>
    <row r="9" spans="1:18" s="15" customFormat="1">
      <c r="A9" s="504"/>
      <c r="B9" s="504"/>
      <c r="C9" s="504"/>
      <c r="D9" s="761" t="s">
        <v>379</v>
      </c>
      <c r="E9" s="762" t="s">
        <v>381</v>
      </c>
      <c r="F9" s="763">
        <v>6000000</v>
      </c>
      <c r="G9" s="764" t="s">
        <v>8</v>
      </c>
      <c r="H9" s="765">
        <v>1</v>
      </c>
      <c r="I9" s="766">
        <v>0.6</v>
      </c>
      <c r="J9" s="763">
        <f>PRODUCT(F9,H9,I9)</f>
        <v>3600000</v>
      </c>
      <c r="K9" s="764"/>
      <c r="L9" s="767"/>
      <c r="M9" s="83"/>
    </row>
    <row r="10" spans="1:18">
      <c r="D10" s="768"/>
      <c r="E10" s="769"/>
      <c r="F10" s="769"/>
      <c r="G10" s="769"/>
      <c r="H10" s="770"/>
      <c r="I10" s="770"/>
      <c r="J10" s="755">
        <f>PRODUCT(F10,H10,I10)</f>
        <v>0</v>
      </c>
      <c r="K10" s="770"/>
      <c r="L10" s="771"/>
    </row>
    <row r="11" spans="1:18">
      <c r="D11" s="768"/>
      <c r="E11" s="769"/>
      <c r="F11" s="769"/>
      <c r="G11" s="769"/>
      <c r="H11" s="770"/>
      <c r="I11" s="770"/>
      <c r="J11" s="755">
        <f>PRODUCT(F11,H11,I11)</f>
        <v>0</v>
      </c>
      <c r="K11" s="770"/>
      <c r="L11" s="771"/>
    </row>
    <row r="12" spans="1:18">
      <c r="D12" s="768"/>
      <c r="E12" s="769"/>
      <c r="F12" s="769"/>
      <c r="G12" s="769"/>
      <c r="H12" s="770"/>
      <c r="I12" s="770"/>
      <c r="J12" s="772"/>
      <c r="K12" s="770"/>
      <c r="L12" s="771"/>
    </row>
    <row r="13" spans="1:18">
      <c r="D13" s="768"/>
      <c r="E13" s="769"/>
      <c r="F13" s="769"/>
      <c r="G13" s="769"/>
      <c r="H13" s="770"/>
      <c r="I13" s="770"/>
      <c r="J13" s="772"/>
      <c r="K13" s="770"/>
      <c r="L13" s="771"/>
    </row>
    <row r="14" spans="1:18">
      <c r="D14" s="768"/>
      <c r="E14" s="769"/>
      <c r="F14" s="769"/>
      <c r="G14" s="769"/>
      <c r="H14" s="770"/>
      <c r="I14" s="770"/>
      <c r="J14" s="772"/>
      <c r="K14" s="770"/>
      <c r="L14" s="771"/>
    </row>
    <row r="15" spans="1:18" ht="15.75" thickBot="1">
      <c r="D15" s="773"/>
      <c r="E15" s="774"/>
      <c r="F15" s="774"/>
      <c r="G15" s="774"/>
      <c r="H15" s="775"/>
      <c r="I15" s="775"/>
      <c r="J15" s="776"/>
      <c r="K15" s="775"/>
      <c r="L15" s="777"/>
    </row>
  </sheetData>
  <mergeCells count="1">
    <mergeCell ref="D7:F7"/>
  </mergeCells>
  <pageMargins left="0.7" right="0.7" top="0.75" bottom="0.75" header="0.3" footer="0.3"/>
  <pageSetup paperSize="9" scale="32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view="pageBreakPreview" zoomScale="85" zoomScaleNormal="85" zoomScaleSheetLayoutView="85" zoomScalePageLayoutView="85" workbookViewId="0">
      <pane ySplit="3" topLeftCell="A4" activePane="bottomLeft" state="frozen"/>
      <selection pane="bottomLeft" activeCell="D57" sqref="D57"/>
    </sheetView>
  </sheetViews>
  <sheetFormatPr baseColWidth="10" defaultRowHeight="15" outlineLevelRow="1"/>
  <cols>
    <col min="1" max="1" width="3.28515625" customWidth="1"/>
    <col min="2" max="2" width="4.42578125" style="12" customWidth="1"/>
    <col min="3" max="3" width="4.42578125" customWidth="1"/>
    <col min="4" max="4" width="6.85546875" customWidth="1"/>
    <col min="5" max="5" width="13.42578125" customWidth="1"/>
    <col min="6" max="6" width="16.140625" customWidth="1"/>
    <col min="7" max="7" width="11.7109375" style="12" customWidth="1"/>
    <col min="8" max="9" width="15.42578125" customWidth="1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12" customFormat="1">
      <c r="A2" s="62"/>
      <c r="B2" s="62" t="s">
        <v>0</v>
      </c>
      <c r="C2" s="62"/>
      <c r="D2" s="62"/>
      <c r="E2" s="856" t="e">
        <f>#REF!</f>
        <v>#REF!</v>
      </c>
      <c r="F2" s="857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s="12" customForma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s="12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s="12" customFormat="1">
      <c r="A5" s="15"/>
      <c r="B5" s="15"/>
      <c r="C5" s="5" t="s">
        <v>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s="12" customFormat="1">
      <c r="A6" s="15"/>
      <c r="B6" s="15"/>
      <c r="C6" s="7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12" customFormat="1" ht="30">
      <c r="A7" s="15"/>
      <c r="B7" s="15"/>
      <c r="C7" s="15"/>
      <c r="D7" s="854" t="s">
        <v>41</v>
      </c>
      <c r="E7" s="855"/>
      <c r="F7" s="55" t="s">
        <v>39</v>
      </c>
      <c r="G7" s="55" t="s">
        <v>59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s="12" customFormat="1">
      <c r="A8" s="15"/>
      <c r="B8" s="15"/>
      <c r="C8" s="15"/>
      <c r="D8" s="856" t="s">
        <v>42</v>
      </c>
      <c r="E8" s="857"/>
      <c r="F8" s="4"/>
      <c r="G8" s="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s="12" customFormat="1">
      <c r="A9" s="15"/>
      <c r="B9" s="15"/>
      <c r="C9" s="15"/>
      <c r="D9" s="856" t="s">
        <v>43</v>
      </c>
      <c r="E9" s="857"/>
      <c r="F9" s="4"/>
      <c r="G9" s="4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s="12" customFormat="1">
      <c r="A10" s="15"/>
      <c r="B10" s="15"/>
      <c r="D10" s="858" t="s">
        <v>72</v>
      </c>
      <c r="E10" s="858"/>
      <c r="F10" s="859"/>
      <c r="G10" s="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s="12" customFormat="1">
      <c r="A11" s="15"/>
      <c r="B11" s="15"/>
      <c r="C11" s="72"/>
      <c r="D11" s="72"/>
      <c r="E11" s="72"/>
      <c r="F11" s="70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s="12" customFormat="1" hidden="1" outlineLevel="1">
      <c r="A12" s="15"/>
      <c r="B12" s="15"/>
      <c r="C12" s="68" t="s">
        <v>44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s="12" customFormat="1" ht="8.25" hidden="1" customHeight="1" outlineLevel="1">
      <c r="A13" s="15"/>
      <c r="B13" s="15"/>
      <c r="C13" s="6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12" customFormat="1" ht="30" hidden="1" outlineLevel="1">
      <c r="A14" s="15"/>
      <c r="B14" s="15"/>
      <c r="C14" s="7"/>
      <c r="D14" s="55" t="s">
        <v>67</v>
      </c>
      <c r="E14" s="55" t="s">
        <v>39</v>
      </c>
      <c r="F14" s="55" t="s">
        <v>69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12" customFormat="1" hidden="1" outlineLevel="1">
      <c r="A15" s="15"/>
      <c r="B15" s="15"/>
      <c r="C15" s="7"/>
      <c r="D15" s="58">
        <v>1</v>
      </c>
      <c r="E15" s="4"/>
      <c r="F15" s="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s="12" customFormat="1" hidden="1" outlineLevel="1">
      <c r="A16" s="15"/>
      <c r="B16" s="15"/>
      <c r="C16" s="7"/>
      <c r="D16" s="58">
        <v>2</v>
      </c>
      <c r="E16" s="4"/>
      <c r="F16" s="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6" s="12" customFormat="1" hidden="1" outlineLevel="1">
      <c r="A17" s="15"/>
      <c r="B17" s="15"/>
      <c r="C17" s="7"/>
      <c r="D17" s="58">
        <v>3</v>
      </c>
      <c r="E17" s="4"/>
      <c r="F17" s="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6" s="12" customFormat="1" hidden="1" outlineLevel="1">
      <c r="A18" s="15"/>
      <c r="B18" s="15"/>
      <c r="C18" s="7"/>
      <c r="D18" s="58">
        <v>4</v>
      </c>
      <c r="E18" s="4"/>
      <c r="F18" s="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6" s="12" customFormat="1" hidden="1" outlineLevel="1">
      <c r="A19" s="15"/>
      <c r="B19" s="15"/>
      <c r="C19" s="7"/>
      <c r="D19" s="58">
        <v>5</v>
      </c>
      <c r="E19" s="4"/>
      <c r="F19" s="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6" s="12" customFormat="1" hidden="1" outlineLevel="1">
      <c r="A20" s="15"/>
      <c r="B20" s="15"/>
      <c r="C20" s="7"/>
      <c r="D20" s="58">
        <v>6</v>
      </c>
      <c r="E20" s="4"/>
      <c r="F20" s="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6" s="12" customFormat="1" hidden="1" outlineLevel="1">
      <c r="A21" s="15"/>
      <c r="B21" s="15"/>
      <c r="C21" s="7"/>
      <c r="D21" s="58" t="s">
        <v>68</v>
      </c>
      <c r="E21" s="4"/>
      <c r="F21" s="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6" s="12" customFormat="1" hidden="1" outlineLevel="1">
      <c r="A22" s="15"/>
      <c r="B22" s="15"/>
      <c r="C22" s="7"/>
      <c r="D22" s="853" t="s">
        <v>32</v>
      </c>
      <c r="E22" s="853"/>
      <c r="F22" s="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6" s="12" customFormat="1" hidden="1" outlineLevel="1">
      <c r="A23" s="15"/>
      <c r="B23" s="15"/>
      <c r="C23" s="7"/>
      <c r="D23" s="69"/>
      <c r="E23" s="70"/>
      <c r="F23" s="70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6" s="12" customFormat="1" hidden="1" outlineLevel="1">
      <c r="A24" s="15"/>
      <c r="B24" s="15"/>
      <c r="C24" s="68" t="s">
        <v>45</v>
      </c>
      <c r="D24" s="69"/>
      <c r="E24" s="70"/>
      <c r="F24" s="70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6" s="12" customFormat="1" ht="9.75" hidden="1" customHeight="1" outlineLevel="1">
      <c r="A25" s="15"/>
      <c r="B25" s="15"/>
      <c r="C25" s="68"/>
      <c r="D25" s="69"/>
      <c r="E25" s="70"/>
      <c r="F25" s="7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6" s="12" customFormat="1" ht="30" hidden="1" outlineLevel="1">
      <c r="A26" s="15"/>
      <c r="B26" s="15"/>
      <c r="C26" s="15"/>
      <c r="D26" s="15"/>
      <c r="E26" s="15"/>
      <c r="F26" s="71" t="s">
        <v>69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6" s="12" customFormat="1" hidden="1" outlineLevel="1">
      <c r="A27" s="15"/>
      <c r="B27" s="15"/>
      <c r="C27" s="7"/>
      <c r="D27" s="862" t="s">
        <v>32</v>
      </c>
      <c r="E27" s="863"/>
      <c r="F27" s="6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6" s="12" customFormat="1" hidden="1" outlineLevel="1">
      <c r="A28" s="15"/>
      <c r="B28" s="15"/>
      <c r="C28" s="7"/>
      <c r="D28" s="69"/>
      <c r="E28" s="70"/>
      <c r="F28" s="70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6" s="12" customFormat="1" collapsed="1">
      <c r="A29" s="15"/>
      <c r="B29" s="15"/>
      <c r="C29" s="5" t="s">
        <v>63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6" s="12" customFormat="1">
      <c r="A30" s="15"/>
      <c r="B30" s="15"/>
      <c r="C30" s="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6" s="12" customFormat="1" ht="30">
      <c r="A31" s="15"/>
      <c r="B31" s="15"/>
      <c r="C31" s="7"/>
      <c r="D31" s="854" t="s">
        <v>41</v>
      </c>
      <c r="E31" s="855"/>
      <c r="F31" s="55" t="s">
        <v>39</v>
      </c>
      <c r="G31" s="55" t="s">
        <v>59</v>
      </c>
      <c r="H31" s="55" t="s">
        <v>51</v>
      </c>
      <c r="I31" s="55" t="s">
        <v>64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12" customFormat="1">
      <c r="A32" s="15"/>
      <c r="B32" s="15"/>
      <c r="C32" s="7"/>
      <c r="D32" s="856" t="s">
        <v>42</v>
      </c>
      <c r="E32" s="857"/>
      <c r="F32" s="4"/>
      <c r="G32" s="4"/>
      <c r="H32" s="4"/>
      <c r="I32" s="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6" s="12" customFormat="1">
      <c r="A33" s="15"/>
      <c r="B33" s="15"/>
      <c r="C33" s="7"/>
      <c r="D33" s="856" t="s">
        <v>43</v>
      </c>
      <c r="E33" s="857"/>
      <c r="F33" s="4"/>
      <c r="G33" s="4"/>
      <c r="H33" s="856"/>
      <c r="I33" s="857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s="12" customFormat="1">
      <c r="A34" s="15"/>
      <c r="B34" s="15"/>
      <c r="C34" s="7"/>
      <c r="D34" s="858" t="s">
        <v>70</v>
      </c>
      <c r="E34" s="858"/>
      <c r="F34" s="859"/>
      <c r="G34" s="4"/>
      <c r="H34" s="856"/>
      <c r="I34" s="857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6" s="12" customFormat="1">
      <c r="A35" s="15"/>
      <c r="B35" s="15"/>
      <c r="C35" s="7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6">
      <c r="A36" s="1"/>
      <c r="B36" s="15"/>
      <c r="C36" s="5" t="s">
        <v>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6">
      <c r="A37" s="1"/>
      <c r="B37" s="15"/>
      <c r="C37" s="1"/>
      <c r="D37" s="1"/>
      <c r="E37" s="1"/>
      <c r="F37" s="1"/>
      <c r="G37" s="1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6" ht="45" outlineLevel="1">
      <c r="A38" s="1"/>
      <c r="B38" s="15"/>
      <c r="C38" s="1"/>
      <c r="D38" s="55" t="s">
        <v>5</v>
      </c>
      <c r="E38" s="854" t="s">
        <v>55</v>
      </c>
      <c r="F38" s="861"/>
      <c r="G38" s="855"/>
      <c r="H38" s="854" t="s">
        <v>56</v>
      </c>
      <c r="I38" s="855"/>
      <c r="J38" s="55" t="s">
        <v>59</v>
      </c>
      <c r="K38" s="55" t="s">
        <v>60</v>
      </c>
      <c r="L38" s="15"/>
      <c r="M38" s="55" t="s">
        <v>61</v>
      </c>
      <c r="N38" s="15"/>
      <c r="O38" s="15"/>
      <c r="P38" s="15"/>
      <c r="Q38" s="15"/>
      <c r="R38" s="15"/>
      <c r="S38" s="15"/>
      <c r="T38" s="1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outlineLevel="1">
      <c r="A39" s="1"/>
      <c r="B39" s="15"/>
      <c r="C39" s="1"/>
      <c r="D39" s="58">
        <v>1</v>
      </c>
      <c r="E39" s="856"/>
      <c r="F39" s="860"/>
      <c r="G39" s="857"/>
      <c r="H39" s="856"/>
      <c r="I39" s="857"/>
      <c r="J39" s="4"/>
      <c r="K39" s="4"/>
      <c r="L39" s="15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outlineLevel="1">
      <c r="A40" s="1"/>
      <c r="B40" s="15"/>
      <c r="C40" s="1"/>
      <c r="D40" s="58">
        <v>2</v>
      </c>
      <c r="E40" s="856"/>
      <c r="F40" s="860"/>
      <c r="G40" s="857"/>
      <c r="H40" s="856"/>
      <c r="I40" s="857"/>
      <c r="J40" s="4"/>
      <c r="K40" s="4"/>
      <c r="L40" s="1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outlineLevel="1">
      <c r="A41" s="1"/>
      <c r="B41" s="15"/>
      <c r="C41" s="1"/>
      <c r="D41" s="58">
        <v>3</v>
      </c>
      <c r="E41" s="856"/>
      <c r="F41" s="860"/>
      <c r="G41" s="857"/>
      <c r="H41" s="856"/>
      <c r="I41" s="857"/>
      <c r="J41" s="4"/>
      <c r="K41" s="4"/>
      <c r="L41" s="1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outlineLevel="1">
      <c r="A42" s="1"/>
      <c r="B42" s="15"/>
      <c r="C42" s="1"/>
      <c r="D42" s="58">
        <v>4</v>
      </c>
      <c r="E42" s="856"/>
      <c r="F42" s="860"/>
      <c r="G42" s="857"/>
      <c r="H42" s="856"/>
      <c r="I42" s="857"/>
      <c r="J42" s="4"/>
      <c r="K42" s="4"/>
      <c r="L42" s="1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outlineLevel="1">
      <c r="A43" s="1"/>
      <c r="B43" s="15"/>
      <c r="C43" s="1"/>
      <c r="D43" s="58">
        <v>5</v>
      </c>
      <c r="E43" s="856"/>
      <c r="F43" s="860"/>
      <c r="G43" s="857"/>
      <c r="H43" s="856"/>
      <c r="I43" s="857"/>
      <c r="J43" s="4"/>
      <c r="K43" s="4"/>
      <c r="L43" s="1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outlineLevel="1">
      <c r="A44" s="1"/>
      <c r="B44" s="15"/>
      <c r="C44" s="1"/>
      <c r="D44" s="58">
        <v>6</v>
      </c>
      <c r="E44" s="856"/>
      <c r="F44" s="860"/>
      <c r="G44" s="857"/>
      <c r="H44" s="856"/>
      <c r="I44" s="857"/>
      <c r="J44" s="4"/>
      <c r="K44" s="4"/>
      <c r="L44" s="1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outlineLevel="1">
      <c r="A45" s="1"/>
      <c r="B45" s="15"/>
      <c r="C45" s="1"/>
      <c r="D45" s="58">
        <v>7</v>
      </c>
      <c r="E45" s="856"/>
      <c r="F45" s="860"/>
      <c r="G45" s="857"/>
      <c r="H45" s="856"/>
      <c r="I45" s="857"/>
      <c r="J45" s="4"/>
      <c r="K45" s="4"/>
      <c r="L45" s="1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outlineLevel="1">
      <c r="A46" s="1"/>
      <c r="B46" s="15"/>
      <c r="C46" s="1"/>
      <c r="D46" s="58">
        <v>8</v>
      </c>
      <c r="E46" s="856"/>
      <c r="F46" s="860"/>
      <c r="G46" s="857"/>
      <c r="H46" s="856"/>
      <c r="I46" s="857"/>
      <c r="J46" s="4"/>
      <c r="K46" s="4"/>
      <c r="L46" s="1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outlineLevel="1">
      <c r="A47" s="1"/>
      <c r="B47" s="15"/>
      <c r="C47" s="1"/>
      <c r="D47" s="58">
        <v>9</v>
      </c>
      <c r="E47" s="856"/>
      <c r="F47" s="860"/>
      <c r="G47" s="857"/>
      <c r="H47" s="856"/>
      <c r="I47" s="857"/>
      <c r="J47" s="4"/>
      <c r="K47" s="4"/>
      <c r="L47" s="1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outlineLevel="1">
      <c r="A48" s="1"/>
      <c r="B48" s="15"/>
      <c r="C48" s="1"/>
      <c r="D48" s="58">
        <v>10</v>
      </c>
      <c r="E48" s="856"/>
      <c r="F48" s="860"/>
      <c r="G48" s="857"/>
      <c r="H48" s="856"/>
      <c r="I48" s="857"/>
      <c r="J48" s="4"/>
      <c r="K48" s="4"/>
      <c r="L48" s="1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outlineLevel="1">
      <c r="A49" s="1"/>
      <c r="B49" s="15"/>
      <c r="C49" s="1"/>
      <c r="D49" s="58">
        <v>11</v>
      </c>
      <c r="E49" s="856"/>
      <c r="F49" s="860"/>
      <c r="G49" s="857"/>
      <c r="H49" s="856"/>
      <c r="I49" s="857"/>
      <c r="J49" s="4"/>
      <c r="K49" s="4"/>
      <c r="L49" s="1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outlineLevel="1">
      <c r="A50" s="1"/>
      <c r="B50" s="15"/>
      <c r="C50" s="1"/>
      <c r="D50" s="58">
        <v>12</v>
      </c>
      <c r="E50" s="856"/>
      <c r="F50" s="860"/>
      <c r="G50" s="857"/>
      <c r="H50" s="856"/>
      <c r="I50" s="857"/>
      <c r="J50" s="4"/>
      <c r="K50" s="4"/>
      <c r="L50" s="1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outlineLevel="1">
      <c r="A51" s="1"/>
      <c r="B51" s="15"/>
      <c r="C51" s="1"/>
      <c r="D51" s="58">
        <v>13</v>
      </c>
      <c r="E51" s="856"/>
      <c r="F51" s="860"/>
      <c r="G51" s="857"/>
      <c r="H51" s="856"/>
      <c r="I51" s="857"/>
      <c r="J51" s="4"/>
      <c r="K51" s="4"/>
      <c r="L51" s="1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outlineLevel="1">
      <c r="A52" s="1"/>
      <c r="B52" s="15"/>
      <c r="C52" s="1"/>
      <c r="D52" s="58">
        <v>14</v>
      </c>
      <c r="E52" s="856"/>
      <c r="F52" s="860"/>
      <c r="G52" s="857"/>
      <c r="H52" s="856"/>
      <c r="I52" s="857"/>
      <c r="J52" s="4"/>
      <c r="K52" s="4"/>
      <c r="L52" s="1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outlineLevel="1">
      <c r="A53" s="1"/>
      <c r="B53" s="15"/>
      <c r="C53" s="1"/>
      <c r="D53" s="58">
        <v>15</v>
      </c>
      <c r="E53" s="856"/>
      <c r="F53" s="860"/>
      <c r="G53" s="857"/>
      <c r="H53" s="856"/>
      <c r="I53" s="857"/>
      <c r="J53" s="4"/>
      <c r="K53" s="4"/>
      <c r="L53" s="1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outlineLevel="1">
      <c r="A54" s="1"/>
      <c r="B54" s="15"/>
      <c r="C54" s="1"/>
      <c r="D54" s="58">
        <v>16</v>
      </c>
      <c r="E54" s="856"/>
      <c r="F54" s="860"/>
      <c r="G54" s="857"/>
      <c r="H54" s="856"/>
      <c r="I54" s="857"/>
      <c r="J54" s="4"/>
      <c r="K54" s="4"/>
      <c r="L54" s="1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outlineLevel="1">
      <c r="A55" s="1"/>
      <c r="B55" s="15"/>
      <c r="C55" s="1"/>
      <c r="D55" s="58">
        <v>17</v>
      </c>
      <c r="E55" s="856"/>
      <c r="F55" s="860"/>
      <c r="G55" s="857"/>
      <c r="H55" s="856"/>
      <c r="I55" s="857"/>
      <c r="J55" s="4"/>
      <c r="K55" s="4"/>
      <c r="L55" s="1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outlineLevel="1">
      <c r="A56" s="1"/>
      <c r="B56" s="15"/>
      <c r="C56" s="1"/>
      <c r="D56" s="58">
        <v>18</v>
      </c>
      <c r="E56" s="856"/>
      <c r="F56" s="860"/>
      <c r="G56" s="857"/>
      <c r="H56" s="856"/>
      <c r="I56" s="857"/>
      <c r="J56" s="4"/>
      <c r="K56" s="4"/>
      <c r="L56" s="15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6" outlineLevel="1">
      <c r="A57" s="1"/>
      <c r="B57" s="15"/>
      <c r="C57" s="1"/>
      <c r="D57" s="58">
        <v>19</v>
      </c>
      <c r="E57" s="856"/>
      <c r="F57" s="860"/>
      <c r="G57" s="857"/>
      <c r="H57" s="856"/>
      <c r="I57" s="857"/>
      <c r="J57" s="4"/>
      <c r="K57" s="4"/>
      <c r="L57" s="15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6" outlineLevel="1">
      <c r="A58" s="1"/>
      <c r="B58" s="15"/>
      <c r="C58" s="1"/>
      <c r="D58" s="58">
        <v>20</v>
      </c>
      <c r="E58" s="856"/>
      <c r="F58" s="860"/>
      <c r="G58" s="857"/>
      <c r="H58" s="856"/>
      <c r="I58" s="857"/>
      <c r="J58" s="4"/>
      <c r="K58" s="4"/>
      <c r="L58" s="15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6" outlineLevel="1">
      <c r="A59" s="1"/>
      <c r="B59" s="15"/>
      <c r="C59" s="1"/>
      <c r="D59" s="58">
        <v>21</v>
      </c>
      <c r="E59" s="856"/>
      <c r="F59" s="860"/>
      <c r="G59" s="857"/>
      <c r="H59" s="856"/>
      <c r="I59" s="857"/>
      <c r="J59" s="4"/>
      <c r="K59" s="4"/>
      <c r="L59" s="15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6" outlineLevel="1">
      <c r="A60" s="1"/>
      <c r="B60" s="15"/>
      <c r="C60" s="1"/>
      <c r="D60" s="58">
        <v>22</v>
      </c>
      <c r="E60" s="856"/>
      <c r="F60" s="860"/>
      <c r="G60" s="857"/>
      <c r="H60" s="856"/>
      <c r="I60" s="857"/>
      <c r="J60" s="4"/>
      <c r="K60" s="4"/>
      <c r="L60" s="15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6" outlineLevel="1">
      <c r="A61" s="1"/>
      <c r="B61" s="15"/>
      <c r="C61" s="1"/>
      <c r="D61" s="58">
        <v>23</v>
      </c>
      <c r="E61" s="856"/>
      <c r="F61" s="860"/>
      <c r="G61" s="857"/>
      <c r="H61" s="856"/>
      <c r="I61" s="857"/>
      <c r="J61" s="4"/>
      <c r="K61" s="4"/>
      <c r="L61" s="15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6" outlineLevel="1">
      <c r="A62" s="1"/>
      <c r="B62" s="15"/>
      <c r="C62" s="1"/>
      <c r="D62" s="58">
        <v>24</v>
      </c>
      <c r="E62" s="856"/>
      <c r="F62" s="860"/>
      <c r="G62" s="857"/>
      <c r="H62" s="856"/>
      <c r="I62" s="857"/>
      <c r="J62" s="4"/>
      <c r="K62" s="4"/>
      <c r="L62" s="15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6" outlineLevel="1">
      <c r="A63" s="1"/>
      <c r="B63" s="15"/>
      <c r="C63" s="1"/>
      <c r="D63" s="58">
        <v>25</v>
      </c>
      <c r="E63" s="856"/>
      <c r="F63" s="860"/>
      <c r="G63" s="857"/>
      <c r="H63" s="856"/>
      <c r="I63" s="857"/>
      <c r="J63" s="4"/>
      <c r="K63" s="4"/>
      <c r="L63" s="15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outlineLevel="1">
      <c r="A64" s="1"/>
      <c r="B64" s="15"/>
      <c r="C64" s="1"/>
      <c r="D64" s="58">
        <v>26</v>
      </c>
      <c r="E64" s="856"/>
      <c r="F64" s="860"/>
      <c r="G64" s="857"/>
      <c r="H64" s="856"/>
      <c r="I64" s="857"/>
      <c r="J64" s="4"/>
      <c r="K64" s="4"/>
      <c r="L64" s="15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outlineLevel="1">
      <c r="A65" s="1"/>
      <c r="B65" s="15"/>
      <c r="C65" s="1"/>
      <c r="D65" s="58">
        <v>27</v>
      </c>
      <c r="E65" s="856"/>
      <c r="F65" s="860"/>
      <c r="G65" s="857"/>
      <c r="H65" s="856"/>
      <c r="I65" s="857"/>
      <c r="J65" s="4"/>
      <c r="K65" s="4"/>
      <c r="L65" s="15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outlineLevel="1">
      <c r="A66" s="1"/>
      <c r="B66" s="15"/>
      <c r="C66" s="1"/>
      <c r="D66" s="58">
        <v>28</v>
      </c>
      <c r="E66" s="856"/>
      <c r="F66" s="860"/>
      <c r="G66" s="857"/>
      <c r="H66" s="856"/>
      <c r="I66" s="857"/>
      <c r="J66" s="4"/>
      <c r="K66" s="4"/>
      <c r="L66" s="15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outlineLevel="1">
      <c r="A67" s="1"/>
      <c r="B67" s="15"/>
      <c r="C67" s="1"/>
      <c r="D67" s="58">
        <v>29</v>
      </c>
      <c r="E67" s="856"/>
      <c r="F67" s="860"/>
      <c r="G67" s="857"/>
      <c r="H67" s="856"/>
      <c r="I67" s="857"/>
      <c r="J67" s="4"/>
      <c r="K67" s="4"/>
      <c r="L67" s="15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outlineLevel="1">
      <c r="A68" s="1"/>
      <c r="B68" s="15"/>
      <c r="C68" s="1"/>
      <c r="D68" s="58">
        <v>30</v>
      </c>
      <c r="E68" s="856"/>
      <c r="F68" s="860"/>
      <c r="G68" s="857"/>
      <c r="H68" s="856"/>
      <c r="I68" s="857"/>
      <c r="J68" s="4"/>
      <c r="K68" s="4"/>
      <c r="L68" s="15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5"/>
      <c r="C69" s="1"/>
      <c r="D69" s="853" t="s">
        <v>71</v>
      </c>
      <c r="E69" s="853"/>
      <c r="F69" s="853"/>
      <c r="G69" s="853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5">
      <c r="A70" s="1"/>
      <c r="B70" s="15"/>
      <c r="C70" s="1"/>
      <c r="D70" s="1"/>
      <c r="E70" s="1"/>
      <c r="F70" s="1"/>
      <c r="G70" s="1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5">
      <c r="A71" s="1"/>
      <c r="B71" s="15"/>
      <c r="C71" s="1"/>
      <c r="D71" s="1"/>
      <c r="E71" s="1"/>
      <c r="F71" s="1"/>
      <c r="G71" s="1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5">
      <c r="A72" s="1"/>
      <c r="B72" s="15"/>
      <c r="C72" s="1"/>
      <c r="D72" s="1"/>
      <c r="E72" s="1"/>
      <c r="F72" s="1"/>
      <c r="G72" s="1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5">
      <c r="A73" s="1"/>
      <c r="B73" s="15"/>
      <c r="C73" s="1"/>
      <c r="D73" s="1"/>
      <c r="E73" s="1"/>
      <c r="F73" s="1"/>
      <c r="G73" s="1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5">
      <c r="A74" s="1"/>
      <c r="B74" s="15"/>
      <c r="C74" s="1"/>
      <c r="D74" s="1"/>
      <c r="E74" s="1"/>
      <c r="F74" s="1"/>
      <c r="G74" s="1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5">
      <c r="A75" s="1"/>
      <c r="B75" s="15"/>
      <c r="C75" s="1"/>
      <c r="D75" s="1"/>
      <c r="E75" s="1"/>
      <c r="F75" s="1"/>
      <c r="G75" s="1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5">
      <c r="A76" s="1"/>
      <c r="B76" s="15"/>
      <c r="C76" s="1"/>
      <c r="D76" s="1"/>
      <c r="E76" s="1"/>
      <c r="F76" s="1"/>
      <c r="G76" s="1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5">
      <c r="A77" s="1"/>
      <c r="B77" s="15"/>
      <c r="C77" s="1"/>
      <c r="D77" s="1"/>
      <c r="E77" s="1"/>
      <c r="F77" s="1"/>
      <c r="G77" s="1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5">
      <c r="A78" s="1"/>
      <c r="B78" s="15"/>
      <c r="C78" s="1"/>
      <c r="D78" s="1"/>
      <c r="E78" s="1"/>
      <c r="F78" s="1"/>
      <c r="G78" s="1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5">
      <c r="A79" s="1"/>
      <c r="B79" s="15"/>
      <c r="C79" s="1"/>
      <c r="D79" s="1"/>
      <c r="E79" s="1"/>
      <c r="F79" s="1"/>
      <c r="G79" s="1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5">
      <c r="A80" s="1"/>
      <c r="B80" s="15"/>
      <c r="C80" s="1"/>
      <c r="D80" s="1"/>
      <c r="E80" s="1"/>
      <c r="F80" s="1"/>
      <c r="G80" s="1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>
      <c r="A81" s="1"/>
      <c r="B81" s="15"/>
      <c r="C81" s="1"/>
      <c r="D81" s="1"/>
      <c r="E81" s="1"/>
      <c r="F81" s="1"/>
      <c r="G81" s="1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>
      <c r="A82" s="1"/>
      <c r="B82" s="15"/>
      <c r="C82" s="1"/>
      <c r="D82" s="1"/>
      <c r="E82" s="1"/>
      <c r="F82" s="1"/>
      <c r="G82" s="1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>
      <c r="A83" s="1"/>
      <c r="B83" s="15"/>
      <c r="C83" s="1"/>
      <c r="D83" s="1"/>
      <c r="E83" s="1"/>
      <c r="F83" s="1"/>
      <c r="G83" s="1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>
      <c r="A84" s="1"/>
      <c r="B84" s="15"/>
      <c r="C84" s="1"/>
      <c r="D84" s="1"/>
      <c r="E84" s="1"/>
      <c r="F84" s="1"/>
      <c r="G84" s="1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>
      <c r="A85" s="1"/>
      <c r="B85" s="15"/>
      <c r="C85" s="1"/>
      <c r="D85" s="1"/>
      <c r="E85" s="1"/>
      <c r="F85" s="1"/>
      <c r="G85" s="1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>
      <c r="A86" s="1"/>
      <c r="B86" s="15"/>
      <c r="C86" s="1"/>
      <c r="D86" s="1"/>
      <c r="E86" s="1"/>
      <c r="F86" s="1"/>
      <c r="G86" s="1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>
      <c r="A87" s="1"/>
      <c r="B87" s="15"/>
      <c r="C87" s="1"/>
      <c r="D87" s="1"/>
      <c r="E87" s="1"/>
      <c r="F87" s="1"/>
      <c r="G87" s="1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>
      <c r="A88" s="1"/>
      <c r="B88" s="15"/>
      <c r="C88" s="1"/>
      <c r="D88" s="1"/>
      <c r="E88" s="1"/>
      <c r="F88" s="1"/>
      <c r="G88" s="1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>
      <c r="A89" s="1"/>
      <c r="B89" s="15"/>
      <c r="C89" s="1"/>
      <c r="D89" s="1"/>
      <c r="E89" s="1"/>
      <c r="F89" s="1"/>
      <c r="G89" s="1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>
      <c r="A90" s="1"/>
      <c r="B90" s="15"/>
      <c r="C90" s="1"/>
      <c r="D90" s="1"/>
      <c r="E90" s="1"/>
      <c r="F90" s="1"/>
      <c r="G90" s="1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>
      <c r="A91" s="1"/>
      <c r="B91" s="15"/>
      <c r="C91" s="1"/>
      <c r="D91" s="1"/>
      <c r="E91" s="1"/>
      <c r="F91" s="1"/>
      <c r="G91" s="1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>
      <c r="A92" s="1"/>
      <c r="B92" s="15"/>
      <c r="C92" s="1"/>
      <c r="D92" s="1"/>
      <c r="E92" s="1"/>
      <c r="F92" s="1"/>
      <c r="G92" s="1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>
      <c r="A93" s="1"/>
      <c r="B93" s="15"/>
      <c r="C93" s="1"/>
      <c r="D93" s="1"/>
      <c r="E93" s="1"/>
      <c r="F93" s="1"/>
      <c r="G93" s="1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>
      <c r="A94" s="1"/>
      <c r="B94" s="15"/>
      <c r="C94" s="1"/>
      <c r="D94" s="1"/>
      <c r="E94" s="1"/>
      <c r="F94" s="1"/>
      <c r="G94" s="1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>
      <c r="A95" s="1"/>
      <c r="B95" s="15"/>
      <c r="C95" s="1"/>
      <c r="D95" s="1"/>
      <c r="E95" s="1"/>
      <c r="F95" s="1"/>
      <c r="G95" s="1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>
      <c r="A96" s="1"/>
      <c r="B96" s="15"/>
      <c r="C96" s="1"/>
      <c r="D96" s="1"/>
      <c r="E96" s="1"/>
      <c r="F96" s="1"/>
      <c r="G96" s="1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>
      <c r="A97" s="1"/>
      <c r="B97" s="15"/>
      <c r="C97" s="1"/>
      <c r="D97" s="1"/>
      <c r="E97" s="1"/>
      <c r="F97" s="1"/>
      <c r="G97" s="1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>
      <c r="A98" s="1"/>
      <c r="B98" s="15"/>
      <c r="C98" s="1"/>
      <c r="D98" s="1"/>
      <c r="E98" s="1"/>
      <c r="F98" s="1"/>
      <c r="G98" s="1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>
      <c r="A99" s="1"/>
      <c r="B99" s="15"/>
      <c r="C99" s="1"/>
      <c r="D99" s="1"/>
      <c r="E99" s="1"/>
      <c r="F99" s="1"/>
      <c r="G99" s="1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>
      <c r="A100" s="1"/>
      <c r="B100" s="15"/>
      <c r="C100" s="1"/>
      <c r="D100" s="1"/>
      <c r="E100" s="1"/>
      <c r="F100" s="1"/>
      <c r="G100" s="1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>
      <c r="A101" s="1"/>
      <c r="B101" s="15"/>
      <c r="C101" s="1"/>
      <c r="D101" s="1"/>
      <c r="E101" s="1"/>
      <c r="F101" s="1"/>
      <c r="G101" s="1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>
      <c r="A102" s="1"/>
      <c r="B102" s="15"/>
      <c r="C102" s="1"/>
      <c r="D102" s="1"/>
      <c r="E102" s="1"/>
      <c r="F102" s="1"/>
      <c r="G102" s="1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>
      <c r="A103" s="1"/>
      <c r="B103" s="15"/>
      <c r="C103" s="1"/>
      <c r="D103" s="1"/>
      <c r="E103" s="1"/>
      <c r="F103" s="1"/>
      <c r="G103" s="1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>
      <c r="A104" s="1"/>
      <c r="B104" s="15"/>
      <c r="C104" s="1"/>
      <c r="D104" s="1"/>
      <c r="E104" s="1"/>
      <c r="F104" s="1"/>
      <c r="G104" s="1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>
      <c r="A105" s="1"/>
      <c r="B105" s="15"/>
      <c r="C105" s="1"/>
      <c r="D105" s="1"/>
      <c r="E105" s="1"/>
      <c r="F105" s="1"/>
      <c r="G105" s="1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>
      <c r="A106" s="1"/>
      <c r="B106" s="15"/>
      <c r="C106" s="1"/>
      <c r="D106" s="1"/>
      <c r="E106" s="1"/>
      <c r="F106" s="1"/>
      <c r="G106" s="1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>
      <c r="A107" s="1"/>
      <c r="B107" s="15"/>
      <c r="C107" s="1"/>
      <c r="D107" s="1"/>
      <c r="E107" s="1"/>
      <c r="F107" s="1"/>
      <c r="G107" s="1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>
      <c r="A108" s="1"/>
      <c r="B108" s="15"/>
      <c r="C108" s="1"/>
      <c r="D108" s="1"/>
      <c r="E108" s="1"/>
      <c r="F108" s="1"/>
      <c r="G108" s="1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>
      <c r="A109" s="1"/>
      <c r="B109" s="15"/>
      <c r="C109" s="1"/>
      <c r="D109" s="1"/>
      <c r="E109" s="1"/>
      <c r="F109" s="1"/>
      <c r="G109" s="1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>
      <c r="A110" s="1"/>
      <c r="B110" s="15"/>
      <c r="C110" s="1"/>
      <c r="D110" s="1"/>
      <c r="E110" s="1"/>
      <c r="F110" s="1"/>
      <c r="G110" s="1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>
      <c r="A111" s="1"/>
      <c r="B111" s="15"/>
      <c r="C111" s="1"/>
      <c r="D111" s="1"/>
      <c r="E111" s="1"/>
      <c r="F111" s="1"/>
      <c r="G111" s="1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>
      <c r="A112" s="1"/>
      <c r="B112" s="15"/>
      <c r="C112" s="1"/>
      <c r="D112" s="1"/>
      <c r="E112" s="1"/>
      <c r="F112" s="1"/>
      <c r="G112" s="1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>
      <c r="A113" s="1"/>
      <c r="B113" s="15"/>
      <c r="C113" s="1"/>
      <c r="D113" s="1"/>
      <c r="E113" s="1"/>
      <c r="F113" s="1"/>
      <c r="G113" s="1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>
      <c r="A114" s="1"/>
      <c r="B114" s="15"/>
      <c r="C114" s="1"/>
      <c r="D114" s="1"/>
      <c r="E114" s="1"/>
      <c r="F114" s="1"/>
      <c r="G114" s="1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>
      <c r="A115" s="1"/>
      <c r="B115" s="15"/>
      <c r="C115" s="1"/>
      <c r="D115" s="1"/>
      <c r="E115" s="1"/>
      <c r="F115" s="1"/>
      <c r="G115" s="1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>
      <c r="A116" s="1"/>
      <c r="B116" s="15"/>
      <c r="C116" s="1"/>
      <c r="D116" s="1"/>
      <c r="E116" s="1"/>
      <c r="F116" s="1"/>
      <c r="G116" s="1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>
      <c r="A117" s="1"/>
      <c r="B117" s="15"/>
      <c r="C117" s="1"/>
      <c r="D117" s="1"/>
      <c r="E117" s="1"/>
      <c r="F117" s="1"/>
      <c r="G117" s="1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>
      <c r="A118" s="1"/>
      <c r="B118" s="15"/>
      <c r="C118" s="1"/>
      <c r="D118" s="1"/>
      <c r="E118" s="1"/>
      <c r="F118" s="1"/>
      <c r="G118" s="1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>
      <c r="A119" s="1"/>
      <c r="B119" s="15"/>
      <c r="C119" s="1"/>
      <c r="D119" s="1"/>
      <c r="E119" s="1"/>
      <c r="F119" s="1"/>
      <c r="G119" s="1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>
      <c r="A120" s="1"/>
      <c r="B120" s="15"/>
      <c r="C120" s="1"/>
      <c r="D120" s="1"/>
      <c r="E120" s="1"/>
      <c r="F120" s="1"/>
      <c r="G120" s="1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>
      <c r="A121" s="1"/>
      <c r="B121" s="15"/>
      <c r="C121" s="1"/>
      <c r="D121" s="1"/>
      <c r="E121" s="1"/>
      <c r="F121" s="1"/>
      <c r="G121" s="1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>
      <c r="A122" s="1"/>
      <c r="B122" s="15"/>
      <c r="C122" s="1"/>
      <c r="D122" s="1"/>
      <c r="E122" s="1"/>
      <c r="F122" s="1"/>
      <c r="G122" s="1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>
      <c r="A123" s="1"/>
      <c r="B123" s="15"/>
      <c r="C123" s="1"/>
      <c r="D123" s="1"/>
      <c r="E123" s="1"/>
      <c r="F123" s="1"/>
      <c r="G123" s="1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>
      <c r="A124" s="1"/>
      <c r="B124" s="15"/>
      <c r="C124" s="1"/>
      <c r="D124" s="1"/>
      <c r="E124" s="1"/>
      <c r="F124" s="1"/>
      <c r="G124" s="1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>
      <c r="A125" s="1"/>
      <c r="B125" s="15"/>
      <c r="C125" s="1"/>
      <c r="D125" s="1"/>
      <c r="E125" s="1"/>
      <c r="F125" s="1"/>
      <c r="G125" s="1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>
      <c r="A126" s="1"/>
      <c r="B126" s="15"/>
      <c r="C126" s="1"/>
      <c r="D126" s="1"/>
      <c r="E126" s="1"/>
      <c r="F126" s="1"/>
      <c r="G126" s="1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>
      <c r="A127" s="1"/>
      <c r="B127" s="15"/>
      <c r="C127" s="1"/>
      <c r="D127" s="1"/>
      <c r="E127" s="1"/>
      <c r="F127" s="1"/>
      <c r="G127" s="1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>
      <c r="A128" s="1"/>
      <c r="B128" s="15"/>
      <c r="C128" s="1"/>
      <c r="D128" s="1"/>
      <c r="E128" s="1"/>
      <c r="F128" s="1"/>
      <c r="G128" s="1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>
      <c r="A129" s="1"/>
      <c r="B129" s="15"/>
      <c r="C129" s="1"/>
      <c r="D129" s="1"/>
      <c r="E129" s="1"/>
      <c r="F129" s="1"/>
      <c r="G129" s="1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>
      <c r="A130" s="1"/>
      <c r="B130" s="15"/>
      <c r="C130" s="1"/>
      <c r="D130" s="1"/>
      <c r="E130" s="1"/>
      <c r="F130" s="1"/>
      <c r="G130" s="1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>
      <c r="A131" s="1"/>
      <c r="B131" s="15"/>
      <c r="C131" s="1"/>
      <c r="D131" s="1"/>
      <c r="E131" s="1"/>
      <c r="F131" s="1"/>
      <c r="G131" s="1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>
      <c r="A132" s="1"/>
      <c r="B132" s="15"/>
      <c r="C132" s="1"/>
      <c r="D132" s="1"/>
      <c r="E132" s="1"/>
      <c r="F132" s="1"/>
      <c r="G132" s="1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>
      <c r="A133" s="1"/>
      <c r="B133" s="15"/>
      <c r="C133" s="1"/>
      <c r="D133" s="1"/>
      <c r="E133" s="1"/>
      <c r="F133" s="1"/>
      <c r="G133" s="1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>
      <c r="A134" s="1"/>
      <c r="B134" s="15"/>
      <c r="C134" s="1"/>
      <c r="D134" s="1"/>
      <c r="E134" s="1"/>
      <c r="F134" s="1"/>
      <c r="G134" s="1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>
      <c r="A135" s="1"/>
      <c r="B135" s="15"/>
      <c r="C135" s="1"/>
      <c r="D135" s="1"/>
      <c r="E135" s="1"/>
      <c r="F135" s="1"/>
      <c r="G135" s="1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>
      <c r="A136" s="1"/>
      <c r="B136" s="15"/>
      <c r="C136" s="1"/>
      <c r="D136" s="1"/>
      <c r="E136" s="1"/>
      <c r="F136" s="1"/>
      <c r="G136" s="1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>
      <c r="A137" s="1"/>
      <c r="B137" s="15"/>
      <c r="C137" s="1"/>
      <c r="D137" s="1"/>
      <c r="E137" s="1"/>
      <c r="F137" s="1"/>
      <c r="G137" s="1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>
      <c r="A138" s="1"/>
      <c r="B138" s="15"/>
      <c r="C138" s="1"/>
      <c r="D138" s="1"/>
      <c r="E138" s="1"/>
      <c r="F138" s="1"/>
      <c r="G138" s="1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>
      <c r="A139" s="1"/>
      <c r="B139" s="15"/>
      <c r="C139" s="1"/>
      <c r="D139" s="1"/>
      <c r="E139" s="1"/>
      <c r="F139" s="1"/>
      <c r="G139" s="1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>
      <c r="A140" s="1"/>
      <c r="B140" s="15"/>
      <c r="C140" s="1"/>
      <c r="D140" s="1"/>
      <c r="E140" s="1"/>
      <c r="F140" s="1"/>
      <c r="G140" s="1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>
      <c r="A141" s="1"/>
      <c r="B141" s="15"/>
      <c r="C141" s="1"/>
      <c r="D141" s="1"/>
      <c r="E141" s="1"/>
      <c r="F141" s="1"/>
      <c r="G141" s="1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>
      <c r="A142" s="1"/>
      <c r="B142" s="15"/>
      <c r="C142" s="1"/>
      <c r="D142" s="1"/>
      <c r="E142" s="1"/>
      <c r="F142" s="1"/>
      <c r="G142" s="1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>
      <c r="A143" s="1"/>
      <c r="B143" s="15"/>
      <c r="C143" s="1"/>
      <c r="D143" s="1"/>
      <c r="E143" s="1"/>
      <c r="F143" s="1"/>
      <c r="G143" s="1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>
      <c r="A144" s="1"/>
      <c r="B144" s="15"/>
      <c r="C144" s="1"/>
      <c r="D144" s="1"/>
      <c r="E144" s="1"/>
      <c r="F144" s="1"/>
      <c r="G144" s="1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>
      <c r="A145" s="1"/>
      <c r="B145" s="15"/>
      <c r="C145" s="1"/>
      <c r="D145" s="1"/>
      <c r="E145" s="1"/>
      <c r="F145" s="1"/>
      <c r="G145" s="1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>
      <c r="A146" s="1"/>
      <c r="B146" s="15"/>
      <c r="C146" s="1"/>
      <c r="D146" s="1"/>
      <c r="E146" s="1"/>
      <c r="F146" s="1"/>
      <c r="G146" s="1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>
      <c r="A147" s="1"/>
      <c r="B147" s="15"/>
      <c r="C147" s="1"/>
      <c r="D147" s="1"/>
      <c r="E147" s="1"/>
      <c r="F147" s="1"/>
      <c r="G147" s="1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>
      <c r="A148" s="1"/>
      <c r="B148" s="15"/>
      <c r="C148" s="1"/>
      <c r="D148" s="1"/>
      <c r="E148" s="1"/>
      <c r="F148" s="1"/>
      <c r="G148" s="1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>
      <c r="A149" s="1"/>
      <c r="B149" s="15"/>
      <c r="C149" s="1"/>
      <c r="D149" s="1"/>
      <c r="E149" s="1"/>
      <c r="F149" s="1"/>
      <c r="G149" s="1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>
      <c r="A150" s="1"/>
      <c r="B150" s="15"/>
      <c r="C150" s="1"/>
      <c r="D150" s="1"/>
      <c r="E150" s="1"/>
      <c r="F150" s="1"/>
      <c r="G150" s="1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>
      <c r="A151" s="1"/>
      <c r="B151" s="15"/>
      <c r="C151" s="1"/>
      <c r="D151" s="1"/>
      <c r="E151" s="1"/>
      <c r="F151" s="1"/>
      <c r="G151" s="1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>
      <c r="A152" s="1"/>
      <c r="B152" s="15"/>
      <c r="C152" s="1"/>
      <c r="D152" s="1"/>
      <c r="E152" s="1"/>
      <c r="F152" s="1"/>
      <c r="G152" s="1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>
      <c r="A153" s="1"/>
      <c r="B153" s="15"/>
      <c r="C153" s="1"/>
      <c r="D153" s="1"/>
      <c r="E153" s="1"/>
      <c r="F153" s="1"/>
      <c r="G153" s="1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>
      <c r="A154" s="1"/>
      <c r="B154" s="15"/>
      <c r="C154" s="1"/>
      <c r="D154" s="1"/>
      <c r="E154" s="1"/>
      <c r="F154" s="1"/>
      <c r="G154" s="1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>
      <c r="A155" s="1"/>
      <c r="B155" s="15"/>
      <c r="C155" s="1"/>
      <c r="D155" s="1"/>
      <c r="E155" s="1"/>
      <c r="F155" s="1"/>
      <c r="G155" s="1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>
      <c r="A156" s="1"/>
      <c r="B156" s="15"/>
      <c r="C156" s="1"/>
      <c r="D156" s="1"/>
      <c r="E156" s="1"/>
      <c r="F156" s="1"/>
      <c r="G156" s="1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>
      <c r="A157" s="1"/>
      <c r="B157" s="15"/>
      <c r="C157" s="1"/>
      <c r="D157" s="1"/>
      <c r="E157" s="1"/>
      <c r="F157" s="1"/>
      <c r="G157" s="1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>
      <c r="A158" s="1"/>
      <c r="B158" s="15"/>
      <c r="C158" s="1"/>
      <c r="D158" s="1"/>
      <c r="E158" s="1"/>
      <c r="F158" s="1"/>
      <c r="G158" s="1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</sheetData>
  <mergeCells count="76">
    <mergeCell ref="E2:F2"/>
    <mergeCell ref="E38:G38"/>
    <mergeCell ref="E39:G39"/>
    <mergeCell ref="H41:I41"/>
    <mergeCell ref="D22:E22"/>
    <mergeCell ref="D27:E27"/>
    <mergeCell ref="D34:F34"/>
    <mergeCell ref="E57:G57"/>
    <mergeCell ref="E51:G51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2:G52"/>
    <mergeCell ref="E53:G53"/>
    <mergeCell ref="E54:G54"/>
    <mergeCell ref="E55:G55"/>
    <mergeCell ref="E56:G56"/>
    <mergeCell ref="H47:I47"/>
    <mergeCell ref="H33:I33"/>
    <mergeCell ref="H34:I34"/>
    <mergeCell ref="H38:I38"/>
    <mergeCell ref="H39:I39"/>
    <mergeCell ref="H40:I40"/>
    <mergeCell ref="H42:I42"/>
    <mergeCell ref="H43:I43"/>
    <mergeCell ref="H44:I44"/>
    <mergeCell ref="H45:I45"/>
    <mergeCell ref="H46:I46"/>
    <mergeCell ref="H58:I58"/>
    <mergeCell ref="H59:I59"/>
    <mergeCell ref="H48:I48"/>
    <mergeCell ref="H49:I49"/>
    <mergeCell ref="H50:I50"/>
    <mergeCell ref="H51:I51"/>
    <mergeCell ref="H52:I52"/>
    <mergeCell ref="H53:I53"/>
    <mergeCell ref="H66:I66"/>
    <mergeCell ref="H67:I67"/>
    <mergeCell ref="H68:I68"/>
    <mergeCell ref="D31:E31"/>
    <mergeCell ref="D32:E32"/>
    <mergeCell ref="D33:E33"/>
    <mergeCell ref="H60:I60"/>
    <mergeCell ref="H61:I61"/>
    <mergeCell ref="H62:I62"/>
    <mergeCell ref="H63:I63"/>
    <mergeCell ref="H64:I64"/>
    <mergeCell ref="H65:I65"/>
    <mergeCell ref="H54:I54"/>
    <mergeCell ref="H55:I55"/>
    <mergeCell ref="H56:I56"/>
    <mergeCell ref="H57:I57"/>
    <mergeCell ref="D69:G69"/>
    <mergeCell ref="D7:E7"/>
    <mergeCell ref="D8:E8"/>
    <mergeCell ref="D9:E9"/>
    <mergeCell ref="D10:F10"/>
    <mergeCell ref="E64:G64"/>
    <mergeCell ref="E65:G65"/>
    <mergeCell ref="E66:G66"/>
    <mergeCell ref="E67:G67"/>
    <mergeCell ref="E68:G68"/>
    <mergeCell ref="E58:G58"/>
    <mergeCell ref="E59:G59"/>
    <mergeCell ref="E60:G60"/>
    <mergeCell ref="E61:G61"/>
    <mergeCell ref="E62:G62"/>
    <mergeCell ref="E63:G63"/>
  </mergeCells>
  <pageMargins left="0.7" right="0.7" top="0.75" bottom="0.75" header="0.3" footer="0.3"/>
  <pageSetup paperSize="9" scale="3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view="pageBreakPreview" zoomScale="85" zoomScaleNormal="85" zoomScaleSheetLayoutView="85" zoomScalePageLayoutView="85" workbookViewId="0">
      <pane ySplit="3" topLeftCell="A4" activePane="bottomLeft" state="frozen"/>
      <selection pane="bottomLeft" activeCell="Q13" sqref="Q13"/>
    </sheetView>
  </sheetViews>
  <sheetFormatPr baseColWidth="10" defaultRowHeight="15" outlineLevelRow="1"/>
  <cols>
    <col min="1" max="1" width="2.7109375" customWidth="1"/>
    <col min="2" max="2" width="4.42578125" style="12" customWidth="1"/>
    <col min="3" max="3" width="4.42578125" customWidth="1"/>
    <col min="4" max="4" width="6.42578125" customWidth="1"/>
    <col min="5" max="5" width="8.140625" customWidth="1"/>
    <col min="6" max="8" width="14.28515625" customWidth="1"/>
  </cols>
  <sheetData>
    <row r="1" spans="1:34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63"/>
      <c r="B2" s="63" t="s">
        <v>0</v>
      </c>
      <c r="C2" s="64"/>
      <c r="D2" s="864" t="e">
        <f>#REF!</f>
        <v>#REF!</v>
      </c>
      <c r="E2" s="864"/>
      <c r="F2" s="864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12" customFormat="1">
      <c r="A3" s="63"/>
      <c r="B3" s="63"/>
      <c r="C3" s="64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s="12" customFormat="1">
      <c r="A4" s="15"/>
      <c r="B4" s="15"/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>
      <c r="A5" s="1"/>
      <c r="B5" s="15"/>
      <c r="C5" s="5" t="s">
        <v>30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>
      <c r="A6" s="1"/>
      <c r="B6" s="1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outlineLevel="1">
      <c r="A7" s="1"/>
      <c r="B7" s="15"/>
      <c r="C7" s="1"/>
      <c r="D7" s="17" t="s">
        <v>44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outlineLevel="1">
      <c r="A8" s="1"/>
      <c r="B8" s="15"/>
      <c r="C8" s="1"/>
      <c r="D8" s="1"/>
      <c r="E8" s="1"/>
      <c r="F8" s="1"/>
      <c r="G8" s="1"/>
      <c r="H8" s="1"/>
      <c r="I8" s="1"/>
      <c r="J8" s="15"/>
      <c r="K8" s="15"/>
      <c r="L8" s="1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30" customHeight="1" outlineLevel="1">
      <c r="A9" s="1"/>
      <c r="B9" s="15"/>
      <c r="C9" s="15"/>
      <c r="D9" s="1"/>
      <c r="E9" s="872" t="s">
        <v>38</v>
      </c>
      <c r="F9" s="854" t="s">
        <v>53</v>
      </c>
      <c r="G9" s="861"/>
      <c r="H9" s="855"/>
      <c r="I9" s="15"/>
      <c r="J9" s="15"/>
      <c r="K9" s="15"/>
      <c r="L9" s="15"/>
      <c r="M9" s="15"/>
      <c r="N9" s="15"/>
      <c r="O9" s="15"/>
      <c r="P9" s="15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outlineLevel="1">
      <c r="A10" s="1"/>
      <c r="B10" s="15"/>
      <c r="C10" s="15"/>
      <c r="D10" s="1"/>
      <c r="E10" s="873"/>
      <c r="F10" s="55" t="s">
        <v>47</v>
      </c>
      <c r="G10" s="55" t="s">
        <v>48</v>
      </c>
      <c r="H10" s="55" t="s">
        <v>49</v>
      </c>
      <c r="I10" s="15"/>
      <c r="J10" s="15"/>
      <c r="K10" s="15"/>
      <c r="L10" s="15"/>
      <c r="M10" s="15"/>
      <c r="N10" s="15"/>
      <c r="O10" s="15"/>
      <c r="P10" s="15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outlineLevel="1">
      <c r="A11" s="1"/>
      <c r="B11" s="15"/>
      <c r="C11" s="15"/>
      <c r="D11" s="1"/>
      <c r="E11" s="56">
        <v>1</v>
      </c>
      <c r="F11" s="57"/>
      <c r="G11" s="57"/>
      <c r="H11" s="57"/>
      <c r="I11" s="15"/>
      <c r="J11" s="15"/>
      <c r="K11" s="15"/>
      <c r="L11" s="15"/>
      <c r="M11" s="15"/>
      <c r="N11" s="15"/>
      <c r="O11" s="15"/>
      <c r="P11" s="15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outlineLevel="1">
      <c r="A12" s="1"/>
      <c r="B12" s="15"/>
      <c r="C12" s="15"/>
      <c r="D12" s="1"/>
      <c r="E12" s="56">
        <v>2</v>
      </c>
      <c r="F12" s="57"/>
      <c r="G12" s="57"/>
      <c r="H12" s="57"/>
      <c r="I12" s="15"/>
      <c r="J12" s="15"/>
      <c r="K12" s="15"/>
      <c r="L12" s="15"/>
      <c r="M12" s="15"/>
      <c r="N12" s="15"/>
      <c r="O12" s="15"/>
      <c r="P12" s="15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outlineLevel="1">
      <c r="A13" s="1"/>
      <c r="B13" s="15"/>
      <c r="C13" s="15"/>
      <c r="D13" s="1"/>
      <c r="E13" s="56">
        <v>3</v>
      </c>
      <c r="F13" s="57"/>
      <c r="G13" s="57"/>
      <c r="H13" s="57"/>
      <c r="I13" s="15"/>
      <c r="J13" s="15"/>
      <c r="K13" s="15"/>
      <c r="L13" s="15"/>
      <c r="M13" s="15"/>
      <c r="N13" s="15"/>
      <c r="O13" s="15"/>
      <c r="P13" s="15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outlineLevel="1">
      <c r="A14" s="1"/>
      <c r="B14" s="15"/>
      <c r="C14" s="15"/>
      <c r="D14" s="1"/>
      <c r="E14" s="56">
        <v>4</v>
      </c>
      <c r="F14" s="57"/>
      <c r="G14" s="57"/>
      <c r="H14" s="57"/>
      <c r="I14" s="15"/>
      <c r="J14" s="15"/>
      <c r="K14" s="15"/>
      <c r="L14" s="15"/>
      <c r="M14" s="15"/>
      <c r="N14" s="15"/>
      <c r="O14" s="15"/>
      <c r="P14" s="15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outlineLevel="1">
      <c r="A15" s="1"/>
      <c r="B15" s="15"/>
      <c r="C15" s="15"/>
      <c r="D15" s="1"/>
      <c r="E15" s="56">
        <v>5</v>
      </c>
      <c r="F15" s="57"/>
      <c r="G15" s="57"/>
      <c r="H15" s="57"/>
      <c r="I15" s="15"/>
      <c r="J15" s="15"/>
      <c r="K15" s="15"/>
      <c r="L15" s="15"/>
      <c r="M15" s="15"/>
      <c r="N15" s="15"/>
      <c r="O15" s="15"/>
      <c r="P15" s="15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outlineLevel="1">
      <c r="A16" s="1"/>
      <c r="B16" s="15"/>
      <c r="C16" s="15"/>
      <c r="D16" s="1"/>
      <c r="E16" s="56">
        <v>6</v>
      </c>
      <c r="F16" s="57"/>
      <c r="G16" s="57"/>
      <c r="H16" s="57"/>
      <c r="I16" s="15"/>
      <c r="J16" s="15"/>
      <c r="K16" s="15"/>
      <c r="L16" s="15"/>
      <c r="M16" s="15"/>
      <c r="N16" s="15"/>
      <c r="O16" s="15"/>
      <c r="P16" s="15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outlineLevel="1">
      <c r="A17" s="1"/>
      <c r="B17" s="15"/>
      <c r="C17" s="15"/>
      <c r="D17" s="1"/>
      <c r="E17" s="56" t="s">
        <v>40</v>
      </c>
      <c r="F17" s="57"/>
      <c r="G17" s="57"/>
      <c r="H17" s="57"/>
      <c r="I17" s="15"/>
      <c r="J17" s="15"/>
      <c r="K17" s="15"/>
      <c r="L17" s="15"/>
      <c r="M17" s="15"/>
      <c r="N17" s="15"/>
      <c r="O17" s="15"/>
      <c r="P17" s="15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outlineLevel="1">
      <c r="A18" s="1"/>
      <c r="B18" s="15"/>
      <c r="C18" s="1"/>
      <c r="D18" s="1"/>
      <c r="E18" s="15"/>
      <c r="F18" s="15"/>
      <c r="G18" s="15"/>
      <c r="H18" s="15"/>
      <c r="I18" s="1"/>
      <c r="J18" s="15"/>
      <c r="K18" s="15"/>
      <c r="L18" s="15"/>
      <c r="M18" s="15"/>
      <c r="N18" s="15"/>
      <c r="O18" s="15"/>
      <c r="P18" s="15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outlineLevel="1">
      <c r="A19" s="1"/>
      <c r="B19" s="15"/>
      <c r="C19" s="1"/>
      <c r="D19" s="17" t="s">
        <v>45</v>
      </c>
      <c r="E19" s="1"/>
      <c r="F19" s="1"/>
      <c r="H19" s="1"/>
      <c r="I19" s="1"/>
      <c r="J19" s="15"/>
      <c r="K19" s="15"/>
      <c r="L19" s="15"/>
      <c r="M19" s="15"/>
      <c r="N19" s="15"/>
      <c r="O19" s="15"/>
      <c r="P19" s="15"/>
      <c r="Q19" s="1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outlineLevel="1">
      <c r="A20" s="1"/>
      <c r="B20" s="15"/>
      <c r="C20" s="15"/>
      <c r="D20" s="15"/>
      <c r="E20" s="1"/>
      <c r="F20" s="1"/>
      <c r="G20" s="1"/>
      <c r="H20" s="1"/>
      <c r="I20" s="1"/>
      <c r="J20" s="15"/>
      <c r="K20" s="15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outlineLevel="1">
      <c r="A21" s="1"/>
      <c r="B21" s="15"/>
      <c r="C21" s="15"/>
      <c r="D21" s="15"/>
      <c r="E21" s="868" t="s">
        <v>46</v>
      </c>
      <c r="F21" s="869"/>
      <c r="G21" s="869"/>
      <c r="H21" s="59" t="s">
        <v>54</v>
      </c>
      <c r="I21" s="1"/>
      <c r="J21" s="15"/>
      <c r="K21" s="15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outlineLevel="1">
      <c r="A22" s="1"/>
      <c r="B22" s="15"/>
      <c r="C22" s="15"/>
      <c r="D22" s="15"/>
      <c r="E22" s="856"/>
      <c r="F22" s="860"/>
      <c r="G22" s="857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>
      <c r="A23" s="1"/>
      <c r="B23" s="15"/>
      <c r="C23" s="15"/>
      <c r="D23" s="15"/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>
      <c r="A24" s="1"/>
      <c r="B24" s="15"/>
      <c r="C24" s="5" t="s">
        <v>31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>
      <c r="A25" s="1"/>
      <c r="B25" s="1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outlineLevel="1">
      <c r="A26" s="1"/>
      <c r="B26" s="15"/>
      <c r="C26" s="1"/>
      <c r="D26" s="17" t="s">
        <v>44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s="12" customFormat="1" outlineLevel="1">
      <c r="A27" s="15"/>
      <c r="B27" s="15"/>
      <c r="C27" s="15"/>
      <c r="D27" s="2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ht="30" outlineLevel="1">
      <c r="A28" s="1"/>
      <c r="B28" s="15"/>
      <c r="C28" s="1"/>
      <c r="D28" s="1"/>
      <c r="E28" s="874" t="s">
        <v>50</v>
      </c>
      <c r="F28" s="875"/>
      <c r="G28" s="876"/>
      <c r="H28" s="32" t="s">
        <v>54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outlineLevel="1">
      <c r="A29" s="1"/>
      <c r="B29" s="15"/>
      <c r="C29" s="1"/>
      <c r="D29" s="1"/>
      <c r="E29" s="865" t="s">
        <v>51</v>
      </c>
      <c r="F29" s="866"/>
      <c r="G29" s="867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outlineLevel="1">
      <c r="A30" s="1"/>
      <c r="B30" s="15"/>
      <c r="C30" s="1"/>
      <c r="D30" s="1"/>
      <c r="E30" s="865" t="s">
        <v>52</v>
      </c>
      <c r="F30" s="866"/>
      <c r="G30" s="867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outlineLevel="1">
      <c r="A31" s="1"/>
      <c r="B31" s="1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outlineLevel="1">
      <c r="A32" s="1"/>
      <c r="B32" s="15"/>
      <c r="C32" s="1"/>
      <c r="D32" s="17" t="s">
        <v>45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5" s="12" customFormat="1" outlineLevel="1">
      <c r="A33" s="15"/>
      <c r="B33" s="15"/>
      <c r="C33" s="15"/>
      <c r="D33" s="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5" ht="30" outlineLevel="1">
      <c r="A34" s="1"/>
      <c r="B34" s="15"/>
      <c r="C34" s="1"/>
      <c r="D34" s="1"/>
      <c r="E34" s="868" t="s">
        <v>46</v>
      </c>
      <c r="F34" s="869"/>
      <c r="G34" s="869"/>
      <c r="H34" s="59" t="s">
        <v>54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5" outlineLevel="1">
      <c r="A35" s="1"/>
      <c r="B35" s="15"/>
      <c r="C35" s="1"/>
      <c r="D35" s="1"/>
      <c r="E35" s="856"/>
      <c r="F35" s="860"/>
      <c r="G35" s="857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5">
      <c r="A36" s="1"/>
      <c r="B36" s="1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5">
      <c r="A37" s="1"/>
      <c r="B37" s="15"/>
      <c r="C37" s="5" t="s">
        <v>29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5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5">
      <c r="A38" s="1"/>
      <c r="B38" s="1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5" ht="30" outlineLevel="1">
      <c r="A39" s="1"/>
      <c r="B39" s="15"/>
      <c r="C39" s="1"/>
      <c r="D39" s="1"/>
      <c r="E39" s="60" t="s">
        <v>5</v>
      </c>
      <c r="F39" s="870" t="s">
        <v>55</v>
      </c>
      <c r="G39" s="871"/>
      <c r="H39" s="871"/>
      <c r="I39" s="60" t="s">
        <v>56</v>
      </c>
      <c r="J39" s="60" t="s">
        <v>57</v>
      </c>
      <c r="K39" s="60" t="s">
        <v>58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outlineLevel="1">
      <c r="A40" s="1"/>
      <c r="B40" s="15"/>
      <c r="C40" s="1"/>
      <c r="D40" s="1"/>
      <c r="E40" s="58">
        <v>1</v>
      </c>
      <c r="F40" s="856"/>
      <c r="G40" s="860"/>
      <c r="H40" s="857"/>
      <c r="I40" s="4"/>
      <c r="J40" s="4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outlineLevel="1">
      <c r="A41" s="1"/>
      <c r="B41" s="15"/>
      <c r="C41" s="1"/>
      <c r="D41" s="1"/>
      <c r="E41" s="58">
        <v>2</v>
      </c>
      <c r="F41" s="856"/>
      <c r="G41" s="860"/>
      <c r="H41" s="857"/>
      <c r="I41" s="4"/>
      <c r="J41" s="4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outlineLevel="1">
      <c r="A42" s="1"/>
      <c r="B42" s="15"/>
      <c r="C42" s="1"/>
      <c r="D42" s="1"/>
      <c r="E42" s="58">
        <v>3</v>
      </c>
      <c r="F42" s="856"/>
      <c r="G42" s="860"/>
      <c r="H42" s="857"/>
      <c r="I42" s="4"/>
      <c r="J42" s="4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outlineLevel="1">
      <c r="A43" s="1"/>
      <c r="B43" s="15"/>
      <c r="C43" s="1"/>
      <c r="D43" s="1"/>
      <c r="E43" s="58">
        <v>4</v>
      </c>
      <c r="F43" s="856"/>
      <c r="G43" s="860"/>
      <c r="H43" s="857"/>
      <c r="I43" s="4"/>
      <c r="J43" s="4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outlineLevel="1">
      <c r="A44" s="1"/>
      <c r="B44" s="15"/>
      <c r="C44" s="1"/>
      <c r="D44" s="1"/>
      <c r="E44" s="58">
        <v>5</v>
      </c>
      <c r="F44" s="856"/>
      <c r="G44" s="860"/>
      <c r="H44" s="857"/>
      <c r="I44" s="4"/>
      <c r="J44" s="4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outlineLevel="1">
      <c r="A45" s="1"/>
      <c r="B45" s="15"/>
      <c r="C45" s="1"/>
      <c r="D45" s="1"/>
      <c r="E45" s="58">
        <v>6</v>
      </c>
      <c r="F45" s="856"/>
      <c r="G45" s="860"/>
      <c r="H45" s="857"/>
      <c r="I45" s="4"/>
      <c r="J45" s="4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outlineLevel="1">
      <c r="A46" s="1"/>
      <c r="B46" s="15"/>
      <c r="C46" s="1"/>
      <c r="D46" s="1"/>
      <c r="E46" s="58">
        <v>7</v>
      </c>
      <c r="F46" s="856"/>
      <c r="G46" s="860"/>
      <c r="H46" s="857"/>
      <c r="I46" s="4"/>
      <c r="J46" s="4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outlineLevel="1">
      <c r="A47" s="1"/>
      <c r="B47" s="15"/>
      <c r="C47" s="1"/>
      <c r="D47" s="1"/>
      <c r="E47" s="58">
        <v>8</v>
      </c>
      <c r="F47" s="856"/>
      <c r="G47" s="860"/>
      <c r="H47" s="857"/>
      <c r="I47" s="4"/>
      <c r="J47" s="4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outlineLevel="1">
      <c r="A48" s="1"/>
      <c r="B48" s="15"/>
      <c r="C48" s="1"/>
      <c r="D48" s="1"/>
      <c r="E48" s="58">
        <v>9</v>
      </c>
      <c r="F48" s="856"/>
      <c r="G48" s="860"/>
      <c r="H48" s="857"/>
      <c r="I48" s="4"/>
      <c r="J48" s="4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outlineLevel="1">
      <c r="A49" s="1"/>
      <c r="B49" s="15"/>
      <c r="C49" s="1"/>
      <c r="D49" s="1"/>
      <c r="E49" s="58">
        <v>10</v>
      </c>
      <c r="F49" s="856"/>
      <c r="G49" s="860"/>
      <c r="H49" s="857"/>
      <c r="I49" s="4"/>
      <c r="J49" s="4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outlineLevel="1">
      <c r="A50" s="1"/>
      <c r="B50" s="15"/>
      <c r="C50" s="1"/>
      <c r="D50" s="1"/>
      <c r="E50" s="58">
        <v>11</v>
      </c>
      <c r="F50" s="856"/>
      <c r="G50" s="860"/>
      <c r="H50" s="857"/>
      <c r="I50" s="4"/>
      <c r="J50" s="4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outlineLevel="1">
      <c r="A51" s="1"/>
      <c r="B51" s="15"/>
      <c r="C51" s="1"/>
      <c r="D51" s="1"/>
      <c r="E51" s="58">
        <v>12</v>
      </c>
      <c r="F51" s="856"/>
      <c r="G51" s="860"/>
      <c r="H51" s="857"/>
      <c r="I51" s="4"/>
      <c r="J51" s="4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outlineLevel="1">
      <c r="A52" s="1"/>
      <c r="B52" s="15"/>
      <c r="C52" s="1"/>
      <c r="D52" s="1"/>
      <c r="E52" s="58">
        <v>13</v>
      </c>
      <c r="F52" s="856"/>
      <c r="G52" s="860"/>
      <c r="H52" s="857"/>
      <c r="I52" s="4"/>
      <c r="J52" s="4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outlineLevel="1">
      <c r="A53" s="1"/>
      <c r="B53" s="15"/>
      <c r="C53" s="1"/>
      <c r="D53" s="1"/>
      <c r="E53" s="58">
        <v>14</v>
      </c>
      <c r="F53" s="856"/>
      <c r="G53" s="860"/>
      <c r="H53" s="857"/>
      <c r="I53" s="4"/>
      <c r="J53" s="4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outlineLevel="1">
      <c r="A54" s="1"/>
      <c r="B54" s="15"/>
      <c r="C54" s="1"/>
      <c r="D54" s="1"/>
      <c r="E54" s="58">
        <v>15</v>
      </c>
      <c r="F54" s="856"/>
      <c r="G54" s="860"/>
      <c r="H54" s="857"/>
      <c r="I54" s="4"/>
      <c r="J54" s="4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outlineLevel="1">
      <c r="A55" s="1"/>
      <c r="B55" s="15"/>
      <c r="C55" s="1"/>
      <c r="D55" s="1"/>
      <c r="E55" s="58">
        <v>16</v>
      </c>
      <c r="F55" s="856"/>
      <c r="G55" s="860"/>
      <c r="H55" s="857"/>
      <c r="I55" s="4"/>
      <c r="J55" s="4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outlineLevel="1">
      <c r="A56" s="1"/>
      <c r="B56" s="15"/>
      <c r="C56" s="1"/>
      <c r="D56" s="1"/>
      <c r="E56" s="58">
        <v>17</v>
      </c>
      <c r="F56" s="856"/>
      <c r="G56" s="860"/>
      <c r="H56" s="857"/>
      <c r="I56" s="4"/>
      <c r="J56" s="4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5" outlineLevel="1">
      <c r="A57" s="1"/>
      <c r="B57" s="15"/>
      <c r="C57" s="1"/>
      <c r="D57" s="1"/>
      <c r="E57" s="58">
        <v>18</v>
      </c>
      <c r="F57" s="856"/>
      <c r="G57" s="860"/>
      <c r="H57" s="857"/>
      <c r="I57" s="4"/>
      <c r="J57" s="4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5" outlineLevel="1">
      <c r="A58" s="1"/>
      <c r="B58" s="15"/>
      <c r="C58" s="1"/>
      <c r="D58" s="1"/>
      <c r="E58" s="58">
        <v>19</v>
      </c>
      <c r="F58" s="856"/>
      <c r="G58" s="860"/>
      <c r="H58" s="857"/>
      <c r="I58" s="4"/>
      <c r="J58" s="4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5" outlineLevel="1">
      <c r="A59" s="1"/>
      <c r="B59" s="15"/>
      <c r="C59" s="1"/>
      <c r="D59" s="1"/>
      <c r="E59" s="58">
        <v>20</v>
      </c>
      <c r="F59" s="856"/>
      <c r="G59" s="860"/>
      <c r="H59" s="857"/>
      <c r="I59" s="4"/>
      <c r="J59" s="4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5" outlineLevel="1">
      <c r="A60" s="1"/>
      <c r="B60" s="15"/>
      <c r="C60" s="1"/>
      <c r="D60" s="1"/>
      <c r="E60" s="58">
        <v>21</v>
      </c>
      <c r="F60" s="856"/>
      <c r="G60" s="860"/>
      <c r="H60" s="857"/>
      <c r="I60" s="4"/>
      <c r="J60" s="4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5" outlineLevel="1">
      <c r="A61" s="1"/>
      <c r="B61" s="15"/>
      <c r="C61" s="1"/>
      <c r="D61" s="1"/>
      <c r="E61" s="58">
        <v>22</v>
      </c>
      <c r="F61" s="856"/>
      <c r="G61" s="860"/>
      <c r="H61" s="857"/>
      <c r="I61" s="4"/>
      <c r="J61" s="4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5" outlineLevel="1">
      <c r="A62" s="1"/>
      <c r="B62" s="15"/>
      <c r="C62" s="1"/>
      <c r="D62" s="1"/>
      <c r="E62" s="58">
        <v>23</v>
      </c>
      <c r="F62" s="856"/>
      <c r="G62" s="860"/>
      <c r="H62" s="857"/>
      <c r="I62" s="4"/>
      <c r="J62" s="4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5" outlineLevel="1">
      <c r="A63" s="1"/>
      <c r="B63" s="15"/>
      <c r="C63" s="1"/>
      <c r="D63" s="1"/>
      <c r="E63" s="58">
        <v>24</v>
      </c>
      <c r="F63" s="856"/>
      <c r="G63" s="860"/>
      <c r="H63" s="857"/>
      <c r="I63" s="4"/>
      <c r="J63" s="4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5" outlineLevel="1">
      <c r="A64" s="1"/>
      <c r="B64" s="15"/>
      <c r="C64" s="1"/>
      <c r="D64" s="1"/>
      <c r="E64" s="58">
        <v>25</v>
      </c>
      <c r="F64" s="856"/>
      <c r="G64" s="860"/>
      <c r="H64" s="857"/>
      <c r="I64" s="4"/>
      <c r="J64" s="4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outlineLevel="1">
      <c r="A65" s="1"/>
      <c r="B65" s="15"/>
      <c r="C65" s="1"/>
      <c r="D65" s="1"/>
      <c r="E65" s="58">
        <v>26</v>
      </c>
      <c r="F65" s="856"/>
      <c r="G65" s="860"/>
      <c r="H65" s="857"/>
      <c r="I65" s="4"/>
      <c r="J65" s="4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outlineLevel="1">
      <c r="A66" s="1"/>
      <c r="B66" s="15"/>
      <c r="C66" s="1"/>
      <c r="D66" s="1"/>
      <c r="E66" s="58">
        <v>27</v>
      </c>
      <c r="F66" s="856"/>
      <c r="G66" s="860"/>
      <c r="H66" s="857"/>
      <c r="I66" s="4"/>
      <c r="J66" s="4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outlineLevel="1">
      <c r="A67" s="1"/>
      <c r="B67" s="15"/>
      <c r="C67" s="1"/>
      <c r="D67" s="1"/>
      <c r="E67" s="58">
        <v>28</v>
      </c>
      <c r="F67" s="856"/>
      <c r="G67" s="860"/>
      <c r="H67" s="857"/>
      <c r="I67" s="4"/>
      <c r="J67" s="4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outlineLevel="1">
      <c r="A68" s="1"/>
      <c r="B68" s="15"/>
      <c r="C68" s="1"/>
      <c r="D68" s="1"/>
      <c r="E68" s="58">
        <v>29</v>
      </c>
      <c r="F68" s="856"/>
      <c r="G68" s="860"/>
      <c r="H68" s="857"/>
      <c r="I68" s="4"/>
      <c r="J68" s="4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outlineLevel="1">
      <c r="A69" s="1"/>
      <c r="B69" s="15"/>
      <c r="C69" s="1"/>
      <c r="D69" s="1"/>
      <c r="E69" s="58">
        <v>30</v>
      </c>
      <c r="F69" s="856"/>
      <c r="G69" s="860"/>
      <c r="H69" s="857"/>
      <c r="I69" s="4"/>
      <c r="J69" s="4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>
      <c r="A80" s="1"/>
      <c r="B80" s="1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>
      <c r="A81" s="1"/>
      <c r="B81" s="1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>
      <c r="A82" s="1"/>
      <c r="B82" s="1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>
      <c r="A83" s="1"/>
      <c r="B83" s="1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>
      <c r="A84" s="1"/>
      <c r="B84" s="1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>
      <c r="A85" s="1"/>
      <c r="B85" s="1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>
      <c r="A86" s="1"/>
      <c r="B86" s="1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>
      <c r="A87" s="1"/>
      <c r="B87" s="1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>
      <c r="A88" s="1"/>
      <c r="B88" s="1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>
      <c r="A89" s="1"/>
      <c r="B89" s="1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>
      <c r="A90" s="1"/>
      <c r="B90" s="1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>
      <c r="A91" s="1"/>
      <c r="B91" s="1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>
      <c r="A92" s="1"/>
      <c r="B92" s="1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>
      <c r="A93" s="1"/>
      <c r="B93" s="1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>
      <c r="A94" s="1"/>
      <c r="B94" s="1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>
      <c r="A95" s="1"/>
      <c r="B95" s="1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>
      <c r="A96" s="1"/>
      <c r="B96" s="1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>
      <c r="A97" s="1"/>
      <c r="B97" s="1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>
      <c r="A98" s="1"/>
      <c r="B98" s="1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>
      <c r="A99" s="1"/>
      <c r="B99" s="1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>
      <c r="A100" s="1"/>
      <c r="B100" s="1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>
      <c r="A101" s="1"/>
      <c r="B101" s="1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</sheetData>
  <mergeCells count="41">
    <mergeCell ref="E29:G29"/>
    <mergeCell ref="E21:G21"/>
    <mergeCell ref="E22:G22"/>
    <mergeCell ref="F9:H9"/>
    <mergeCell ref="E9:E10"/>
    <mergeCell ref="E28:G28"/>
    <mergeCell ref="E30:G30"/>
    <mergeCell ref="E34:G34"/>
    <mergeCell ref="E35:G35"/>
    <mergeCell ref="F39:H39"/>
    <mergeCell ref="F40:H40"/>
    <mergeCell ref="F52:H52"/>
    <mergeCell ref="F41:H41"/>
    <mergeCell ref="F42:H42"/>
    <mergeCell ref="F43:H43"/>
    <mergeCell ref="F44:H44"/>
    <mergeCell ref="F45:H45"/>
    <mergeCell ref="F46:H46"/>
    <mergeCell ref="F69:H69"/>
    <mergeCell ref="F59:H59"/>
    <mergeCell ref="F60:H60"/>
    <mergeCell ref="F61:H61"/>
    <mergeCell ref="F62:H62"/>
    <mergeCell ref="F63:H63"/>
    <mergeCell ref="F64:H64"/>
    <mergeCell ref="D2:F2"/>
    <mergeCell ref="F65:H65"/>
    <mergeCell ref="F66:H66"/>
    <mergeCell ref="F67:H67"/>
    <mergeCell ref="F68:H68"/>
    <mergeCell ref="F53:H53"/>
    <mergeCell ref="F54:H54"/>
    <mergeCell ref="F55:H55"/>
    <mergeCell ref="F56:H56"/>
    <mergeCell ref="F57:H57"/>
    <mergeCell ref="F58:H58"/>
    <mergeCell ref="F47:H47"/>
    <mergeCell ref="F48:H48"/>
    <mergeCell ref="F49:H49"/>
    <mergeCell ref="F50:H50"/>
    <mergeCell ref="F51:H51"/>
  </mergeCells>
  <pageMargins left="0.7" right="0.7" top="0.75" bottom="0.75" header="0.3" footer="0.3"/>
  <pageSetup paperSize="9" scale="42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view="pageBreakPreview" zoomScale="85" zoomScaleNormal="70" zoomScaleSheetLayoutView="85" zoomScalePageLayoutView="70" workbookViewId="0">
      <pane ySplit="3" topLeftCell="A4" activePane="bottomLeft" state="frozen"/>
      <selection pane="bottomLeft" sqref="A1:XFD3"/>
    </sheetView>
  </sheetViews>
  <sheetFormatPr baseColWidth="10" defaultRowHeight="15" outlineLevelRow="1"/>
  <cols>
    <col min="1" max="1" width="2.85546875" customWidth="1"/>
    <col min="2" max="2" width="3.7109375" style="12" customWidth="1"/>
    <col min="3" max="3" width="3.7109375" customWidth="1"/>
    <col min="4" max="4" width="7" bestFit="1" customWidth="1"/>
    <col min="5" max="5" width="33.140625" customWidth="1"/>
    <col min="6" max="6" width="54.42578125" customWidth="1"/>
    <col min="7" max="9" width="15.85546875" style="13" customWidth="1"/>
    <col min="10" max="10" width="15.85546875" customWidth="1"/>
    <col min="11" max="11" width="15" bestFit="1" customWidth="1"/>
    <col min="12" max="13" width="12" customWidth="1"/>
    <col min="14" max="14" width="14.42578125" bestFit="1" customWidth="1"/>
    <col min="15" max="15" width="17.42578125" style="23" customWidth="1"/>
    <col min="16" max="16" width="8.42578125" bestFit="1" customWidth="1"/>
    <col min="17" max="17" width="17.28515625" style="13" customWidth="1"/>
    <col min="18" max="18" width="8.42578125" bestFit="1" customWidth="1"/>
    <col min="19" max="19" width="3.42578125" customWidth="1"/>
  </cols>
  <sheetData>
    <row r="1" spans="1:33">
      <c r="A1" s="63"/>
      <c r="B1" s="63"/>
      <c r="C1" s="63"/>
      <c r="D1" s="63"/>
      <c r="E1" s="63"/>
      <c r="F1" s="63"/>
      <c r="G1" s="65"/>
      <c r="H1" s="65"/>
      <c r="I1" s="65"/>
      <c r="J1" s="63"/>
      <c r="K1" s="63"/>
      <c r="L1" s="63"/>
      <c r="M1" s="63"/>
      <c r="N1" s="63"/>
      <c r="O1" s="66"/>
      <c r="P1" s="63"/>
      <c r="Q1" s="65"/>
      <c r="R1" s="63"/>
      <c r="S1" s="6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s="12" customFormat="1">
      <c r="A2" s="63"/>
      <c r="B2" s="67" t="s">
        <v>0</v>
      </c>
      <c r="C2" s="63"/>
      <c r="D2" s="63"/>
      <c r="E2" s="18" t="e">
        <f>#REF!</f>
        <v>#REF!</v>
      </c>
      <c r="F2" s="63"/>
      <c r="G2" s="65"/>
      <c r="H2" s="65"/>
      <c r="I2" s="65"/>
      <c r="J2" s="63"/>
      <c r="K2" s="63"/>
      <c r="L2" s="63"/>
      <c r="M2" s="63"/>
      <c r="N2" s="63"/>
      <c r="O2" s="66"/>
      <c r="P2" s="63"/>
      <c r="Q2" s="65"/>
      <c r="R2" s="63"/>
      <c r="S2" s="63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3" s="12" customFormat="1">
      <c r="A3" s="63"/>
      <c r="B3" s="63"/>
      <c r="C3" s="63"/>
      <c r="D3" s="63"/>
      <c r="E3" s="63"/>
      <c r="F3" s="63"/>
      <c r="G3" s="65"/>
      <c r="H3" s="65"/>
      <c r="I3" s="65"/>
      <c r="J3" s="63"/>
      <c r="K3" s="63"/>
      <c r="L3" s="63"/>
      <c r="M3" s="63"/>
      <c r="N3" s="63"/>
      <c r="O3" s="66"/>
      <c r="P3" s="63"/>
      <c r="Q3" s="65"/>
      <c r="R3" s="63"/>
      <c r="S3" s="63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3" s="12" customFormat="1">
      <c r="A4" s="15"/>
      <c r="B4" s="15"/>
      <c r="C4" s="15"/>
      <c r="D4" s="15"/>
      <c r="E4" s="15"/>
      <c r="F4" s="15"/>
      <c r="G4" s="14"/>
      <c r="H4" s="14"/>
      <c r="I4" s="14"/>
      <c r="J4" s="15"/>
      <c r="K4" s="15"/>
      <c r="L4" s="15"/>
      <c r="M4" s="15"/>
      <c r="N4" s="15"/>
      <c r="O4" s="20"/>
      <c r="P4" s="15"/>
      <c r="Q4" s="14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3">
      <c r="A5" s="1"/>
      <c r="B5" s="15"/>
      <c r="C5" s="5" t="s">
        <v>36</v>
      </c>
      <c r="D5" s="3"/>
      <c r="E5" s="3"/>
      <c r="F5" s="3"/>
      <c r="G5" s="11"/>
      <c r="H5" s="11"/>
      <c r="I5" s="11"/>
      <c r="J5" s="3"/>
      <c r="K5" s="3"/>
      <c r="L5" s="3"/>
      <c r="M5" s="3"/>
      <c r="N5" s="3"/>
      <c r="O5" s="21"/>
      <c r="P5" s="1"/>
      <c r="Q5" s="14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3">
      <c r="A6" s="1"/>
      <c r="B6" s="15"/>
      <c r="C6" s="1"/>
      <c r="D6" s="1"/>
      <c r="E6" s="1"/>
      <c r="F6" s="1"/>
      <c r="G6" s="14"/>
      <c r="H6" s="14"/>
      <c r="I6" s="14"/>
      <c r="J6" s="1"/>
      <c r="K6" s="1"/>
      <c r="L6" s="1"/>
      <c r="M6" s="1"/>
      <c r="N6" s="1"/>
      <c r="O6" s="20"/>
      <c r="P6" s="1"/>
      <c r="Q6" s="1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3" s="8" customFormat="1">
      <c r="A7" s="9"/>
      <c r="B7" s="15"/>
      <c r="C7" s="9"/>
      <c r="D7" s="6" t="s">
        <v>12</v>
      </c>
      <c r="E7" s="6"/>
      <c r="F7" s="6"/>
      <c r="G7" s="16"/>
      <c r="H7" s="16"/>
      <c r="I7" s="16"/>
      <c r="J7" s="6"/>
      <c r="K7" s="6"/>
      <c r="L7" s="9"/>
      <c r="M7" s="9"/>
      <c r="N7" s="9"/>
      <c r="O7" s="20"/>
      <c r="P7" s="9"/>
      <c r="Q7" s="1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3" s="8" customFormat="1" ht="9" customHeight="1">
      <c r="A8" s="9"/>
      <c r="B8" s="15"/>
      <c r="C8" s="9"/>
      <c r="D8" s="9"/>
      <c r="E8" s="9"/>
      <c r="F8" s="9"/>
      <c r="G8" s="14"/>
      <c r="H8" s="14"/>
      <c r="I8" s="14"/>
      <c r="J8" s="9"/>
      <c r="K8" s="9"/>
      <c r="L8" s="9"/>
      <c r="M8" s="9"/>
      <c r="N8" s="9"/>
      <c r="O8" s="20"/>
      <c r="P8" s="9"/>
      <c r="Q8" s="14"/>
      <c r="R8" s="15"/>
      <c r="S8" s="15"/>
      <c r="T8" s="15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3" ht="46.5" customHeight="1" outlineLevel="1">
      <c r="A9" s="1"/>
      <c r="B9" s="15"/>
      <c r="C9" s="1"/>
      <c r="D9" s="31" t="s">
        <v>1</v>
      </c>
      <c r="E9" s="31" t="e">
        <f>#REF!</f>
        <v>#REF!</v>
      </c>
      <c r="F9" s="31" t="e">
        <f>#REF!</f>
        <v>#REF!</v>
      </c>
      <c r="G9" s="878" t="e">
        <f>#REF!</f>
        <v>#REF!</v>
      </c>
      <c r="H9" s="878"/>
      <c r="I9" s="878"/>
      <c r="J9" s="878"/>
      <c r="K9" s="31" t="e">
        <f>#REF!</f>
        <v>#REF!</v>
      </c>
      <c r="L9" s="32" t="e">
        <f>#REF!</f>
        <v>#REF!</v>
      </c>
      <c r="M9" s="32" t="e">
        <f>#REF!</f>
        <v>#REF!</v>
      </c>
      <c r="N9" s="31" t="e">
        <f>#REF!</f>
        <v>#REF!</v>
      </c>
      <c r="O9" s="31" t="e">
        <f>#REF!</f>
        <v>#REF!</v>
      </c>
      <c r="P9" s="31" t="e">
        <f>#REF!</f>
        <v>#REF!</v>
      </c>
      <c r="Q9" s="31" t="e">
        <f>#REF!</f>
        <v>#REF!</v>
      </c>
      <c r="R9" s="31" t="e">
        <f>#REF!</f>
        <v>#REF!</v>
      </c>
      <c r="S9" s="15"/>
      <c r="T9" s="12"/>
      <c r="U9" s="15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45.75" customHeight="1" outlineLevel="1">
      <c r="A10" s="1"/>
      <c r="B10" s="15"/>
      <c r="C10" s="1"/>
      <c r="D10" s="19">
        <v>1</v>
      </c>
      <c r="E10" s="19" t="str">
        <f>IFERROR(VLOOKUP($E$2&amp;D10,#REF!,2,FALSE)," ")</f>
        <v xml:space="preserve"> </v>
      </c>
      <c r="F10" s="33" t="str">
        <f>IFERROR(VLOOKUP($E$2&amp;D10,#REF!,3,FALSE)," ")</f>
        <v xml:space="preserve"> </v>
      </c>
      <c r="G10" s="877" t="str">
        <f>IFERROR(VLOOKUP($E$2&amp;D10,#REF!,4,FALSE)," ")</f>
        <v xml:space="preserve"> </v>
      </c>
      <c r="H10" s="877"/>
      <c r="I10" s="877"/>
      <c r="J10" s="877"/>
      <c r="K10" s="19" t="str">
        <f>IFERROR(VLOOKUP($E$2&amp;D10,#REF!,5,FALSE)," ")</f>
        <v xml:space="preserve"> </v>
      </c>
      <c r="L10" s="26" t="str">
        <f>IFERROR(VLOOKUP($E$2&amp;D10,#REF!,6,FALSE)," ")</f>
        <v xml:space="preserve"> </v>
      </c>
      <c r="M10" s="26" t="str">
        <f>IFERROR(VLOOKUP($E$2&amp;D10,#REF!,7,FALSE)," ")</f>
        <v xml:space="preserve"> </v>
      </c>
      <c r="N10" s="27" t="str">
        <f>IFERROR(VLOOKUP($E$2&amp;D10,#REF!,8,FALSE)," ")</f>
        <v xml:space="preserve"> </v>
      </c>
      <c r="O10" s="22" t="str">
        <f>IFERROR(VLOOKUP($E$2&amp;D10,#REF!,9,FALSE)," ")</f>
        <v xml:space="preserve"> </v>
      </c>
      <c r="P10" s="22" t="str">
        <f>IFERROR(VLOOKUP($E$2&amp;D10,#REF!,10,FALSE)," ")</f>
        <v xml:space="preserve"> </v>
      </c>
      <c r="Q10" s="22" t="str">
        <f>IFERROR(VLOOKUP($E$2&amp;D10,#REF!,13,FALSE)," ")</f>
        <v xml:space="preserve"> </v>
      </c>
      <c r="R10" s="19" t="str">
        <f>IFERROR(VLOOKUP($E$2&amp;D10,#REF!,14,FALSE)," ")</f>
        <v xml:space="preserve"> </v>
      </c>
      <c r="S10" s="15"/>
      <c r="T10" s="15"/>
      <c r="U10" s="1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45.75" customHeight="1" outlineLevel="1">
      <c r="A11" s="1"/>
      <c r="B11" s="15"/>
      <c r="C11" s="1"/>
      <c r="D11" s="46">
        <v>2</v>
      </c>
      <c r="E11" s="46" t="str">
        <f>IFERROR(VLOOKUP($E$2&amp;D11,#REF!,2,FALSE)," ")</f>
        <v xml:space="preserve"> </v>
      </c>
      <c r="F11" s="34" t="str">
        <f>IFERROR(VLOOKUP($E$2&amp;D11,#REF!,3,FALSE)," ")</f>
        <v xml:space="preserve"> </v>
      </c>
      <c r="G11" s="879" t="str">
        <f>IFERROR(VLOOKUP($E$2&amp;D11,#REF!,4,FALSE)," ")</f>
        <v xml:space="preserve"> </v>
      </c>
      <c r="H11" s="879"/>
      <c r="I11" s="879"/>
      <c r="J11" s="879"/>
      <c r="K11" s="46" t="str">
        <f>IFERROR(VLOOKUP($E$2&amp;D11,#REF!,5,FALSE)," ")</f>
        <v xml:space="preserve"> </v>
      </c>
      <c r="L11" s="28" t="str">
        <f>IFERROR(VLOOKUP($E$2&amp;D11,#REF!,6,FALSE)," ")</f>
        <v xml:space="preserve"> </v>
      </c>
      <c r="M11" s="28" t="str">
        <f>IFERROR(VLOOKUP($E$2&amp;D11,#REF!,7,FALSE)," ")</f>
        <v xml:space="preserve"> </v>
      </c>
      <c r="N11" s="29" t="str">
        <f>IFERROR(VLOOKUP($E$2&amp;D11,#REF!,8,FALSE)," ")</f>
        <v xml:space="preserve"> </v>
      </c>
      <c r="O11" s="30" t="str">
        <f>IFERROR(VLOOKUP($E$2&amp;D11,#REF!,9,FALSE)," ")</f>
        <v xml:space="preserve"> </v>
      </c>
      <c r="P11" s="30" t="str">
        <f>IFERROR(VLOOKUP($E$2&amp;D11,#REF!,10,FALSE)," ")</f>
        <v xml:space="preserve"> </v>
      </c>
      <c r="Q11" s="30" t="str">
        <f>IFERROR(VLOOKUP($E$2&amp;D11,#REF!,13,FALSE)," ")</f>
        <v xml:space="preserve"> </v>
      </c>
      <c r="R11" s="46" t="str">
        <f>IFERROR(VLOOKUP($E$2&amp;D11,#REF!,14,FALSE)," ")</f>
        <v xml:space="preserve"> </v>
      </c>
      <c r="S11" s="15"/>
      <c r="T11" s="15"/>
      <c r="U11" s="15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45.75" customHeight="1" outlineLevel="1">
      <c r="A12" s="1"/>
      <c r="B12" s="15"/>
      <c r="C12" s="1"/>
      <c r="D12" s="19">
        <v>3</v>
      </c>
      <c r="E12" s="19" t="str">
        <f>IFERROR(VLOOKUP($E$2&amp;D12,#REF!,2,FALSE)," ")</f>
        <v xml:space="preserve"> </v>
      </c>
      <c r="F12" s="33" t="str">
        <f>IFERROR(VLOOKUP($E$2&amp;D12,#REF!,3,FALSE)," ")</f>
        <v xml:space="preserve"> </v>
      </c>
      <c r="G12" s="877" t="str">
        <f>IFERROR(VLOOKUP($E$2&amp;D12,#REF!,4,FALSE)," ")</f>
        <v xml:space="preserve"> </v>
      </c>
      <c r="H12" s="877"/>
      <c r="I12" s="877"/>
      <c r="J12" s="877"/>
      <c r="K12" s="19" t="str">
        <f>IFERROR(VLOOKUP($E$2&amp;D12,#REF!,5,FALSE)," ")</f>
        <v xml:space="preserve"> </v>
      </c>
      <c r="L12" s="26" t="str">
        <f>IFERROR(VLOOKUP($E$2&amp;D12,#REF!,6,FALSE)," ")</f>
        <v xml:space="preserve"> </v>
      </c>
      <c r="M12" s="26" t="str">
        <f>IFERROR(VLOOKUP($E$2&amp;D12,#REF!,7,FALSE)," ")</f>
        <v xml:space="preserve"> </v>
      </c>
      <c r="N12" s="27" t="str">
        <f>IFERROR(VLOOKUP($E$2&amp;D12,#REF!,8,FALSE)," ")</f>
        <v xml:space="preserve"> </v>
      </c>
      <c r="O12" s="22" t="str">
        <f>IFERROR(VLOOKUP($E$2&amp;D12,#REF!,9,FALSE)," ")</f>
        <v xml:space="preserve"> </v>
      </c>
      <c r="P12" s="22" t="str">
        <f>IFERROR(VLOOKUP($E$2&amp;D12,#REF!,10,FALSE)," ")</f>
        <v xml:space="preserve"> </v>
      </c>
      <c r="Q12" s="22" t="str">
        <f>IFERROR(VLOOKUP($E$2&amp;D12,#REF!,13,FALSE)," ")</f>
        <v xml:space="preserve"> </v>
      </c>
      <c r="R12" s="19" t="str">
        <f>IFERROR(VLOOKUP($E$2&amp;D12,#REF!,14,FALSE)," ")</f>
        <v xml:space="preserve"> </v>
      </c>
      <c r="S12" s="15"/>
      <c r="T12" s="15"/>
      <c r="U12" s="1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45.75" customHeight="1" outlineLevel="1">
      <c r="A13" s="1"/>
      <c r="B13" s="15"/>
      <c r="C13" s="1"/>
      <c r="D13" s="46">
        <v>4</v>
      </c>
      <c r="E13" s="46" t="str">
        <f>IFERROR(VLOOKUP($E$2&amp;D13,#REF!,2,FALSE)," ")</f>
        <v xml:space="preserve"> </v>
      </c>
      <c r="F13" s="34" t="str">
        <f>IFERROR(VLOOKUP($E$2&amp;D13,#REF!,3,FALSE)," ")</f>
        <v xml:space="preserve"> </v>
      </c>
      <c r="G13" s="879" t="str">
        <f>IFERROR(VLOOKUP($E$2&amp;D13,#REF!,4,FALSE)," ")</f>
        <v xml:space="preserve"> </v>
      </c>
      <c r="H13" s="879"/>
      <c r="I13" s="879"/>
      <c r="J13" s="879"/>
      <c r="K13" s="46" t="str">
        <f>IFERROR(VLOOKUP($E$2&amp;D13,#REF!,5,FALSE)," ")</f>
        <v xml:space="preserve"> </v>
      </c>
      <c r="L13" s="28" t="str">
        <f>IFERROR(VLOOKUP($E$2&amp;D13,#REF!,6,FALSE)," ")</f>
        <v xml:space="preserve"> </v>
      </c>
      <c r="M13" s="28" t="str">
        <f>IFERROR(VLOOKUP($E$2&amp;D13,#REF!,7,FALSE)," ")</f>
        <v xml:space="preserve"> </v>
      </c>
      <c r="N13" s="29" t="str">
        <f>IFERROR(VLOOKUP($E$2&amp;D13,#REF!,8,FALSE)," ")</f>
        <v xml:space="preserve"> </v>
      </c>
      <c r="O13" s="30" t="str">
        <f>IFERROR(VLOOKUP($E$2&amp;D13,#REF!,9,FALSE)," ")</f>
        <v xml:space="preserve"> </v>
      </c>
      <c r="P13" s="30" t="str">
        <f>IFERROR(VLOOKUP($E$2&amp;D13,#REF!,10,FALSE)," ")</f>
        <v xml:space="preserve"> </v>
      </c>
      <c r="Q13" s="30" t="str">
        <f>IFERROR(VLOOKUP($E$2&amp;D13,#REF!,13,FALSE)," ")</f>
        <v xml:space="preserve"> </v>
      </c>
      <c r="R13" s="46" t="str">
        <f>IFERROR(VLOOKUP($E$2&amp;D13,#REF!,14,FALSE)," ")</f>
        <v xml:space="preserve"> </v>
      </c>
      <c r="S13" s="15"/>
      <c r="T13" s="15"/>
      <c r="U13" s="1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45.75" customHeight="1" outlineLevel="1">
      <c r="A14" s="1"/>
      <c r="B14" s="15"/>
      <c r="C14" s="1"/>
      <c r="D14" s="19">
        <v>5</v>
      </c>
      <c r="E14" s="19" t="str">
        <f>IFERROR(VLOOKUP($E$2&amp;D14,#REF!,2,FALSE)," ")</f>
        <v xml:space="preserve"> </v>
      </c>
      <c r="F14" s="33" t="str">
        <f>IFERROR(VLOOKUP($E$2&amp;D14,#REF!,3,FALSE)," ")</f>
        <v xml:space="preserve"> </v>
      </c>
      <c r="G14" s="877" t="str">
        <f>IFERROR(VLOOKUP($E$2&amp;D14,#REF!,4,FALSE)," ")</f>
        <v xml:space="preserve"> </v>
      </c>
      <c r="H14" s="877"/>
      <c r="I14" s="877"/>
      <c r="J14" s="877"/>
      <c r="K14" s="19" t="str">
        <f>IFERROR(VLOOKUP($E$2&amp;D14,#REF!,5,FALSE)," ")</f>
        <v xml:space="preserve"> </v>
      </c>
      <c r="L14" s="26" t="str">
        <f>IFERROR(VLOOKUP($E$2&amp;D14,#REF!,6,FALSE)," ")</f>
        <v xml:space="preserve"> </v>
      </c>
      <c r="M14" s="26" t="str">
        <f>IFERROR(VLOOKUP($E$2&amp;D14,#REF!,7,FALSE)," ")</f>
        <v xml:space="preserve"> </v>
      </c>
      <c r="N14" s="27" t="str">
        <f>IFERROR(VLOOKUP($E$2&amp;D14,#REF!,8,FALSE)," ")</f>
        <v xml:space="preserve"> </v>
      </c>
      <c r="O14" s="22" t="str">
        <f>IFERROR(VLOOKUP($E$2&amp;D14,#REF!,9,FALSE)," ")</f>
        <v xml:space="preserve"> </v>
      </c>
      <c r="P14" s="22" t="str">
        <f>IFERROR(VLOOKUP($E$2&amp;D14,#REF!,10,FALSE)," ")</f>
        <v xml:space="preserve"> </v>
      </c>
      <c r="Q14" s="22" t="str">
        <f>IFERROR(VLOOKUP($E$2&amp;D14,#REF!,13,FALSE)," ")</f>
        <v xml:space="preserve"> </v>
      </c>
      <c r="R14" s="19" t="str">
        <f>IFERROR(VLOOKUP($E$2&amp;D14,#REF!,14,FALSE)," ")</f>
        <v xml:space="preserve"> </v>
      </c>
      <c r="S14" s="15"/>
      <c r="T14" s="15"/>
      <c r="U14" s="15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45.75" customHeight="1" outlineLevel="1">
      <c r="A15" s="1"/>
      <c r="B15" s="15"/>
      <c r="C15" s="1"/>
      <c r="D15" s="46">
        <v>6</v>
      </c>
      <c r="E15" s="46" t="str">
        <f>IFERROR(VLOOKUP($E$2&amp;D15,#REF!,2,FALSE)," ")</f>
        <v xml:space="preserve"> </v>
      </c>
      <c r="F15" s="34" t="str">
        <f>IFERROR(VLOOKUP($E$2&amp;D15,#REF!,3,FALSE)," ")</f>
        <v xml:space="preserve"> </v>
      </c>
      <c r="G15" s="879" t="str">
        <f>IFERROR(VLOOKUP($E$2&amp;D15,#REF!,4,FALSE)," ")</f>
        <v xml:space="preserve"> </v>
      </c>
      <c r="H15" s="879"/>
      <c r="I15" s="879"/>
      <c r="J15" s="879"/>
      <c r="K15" s="46" t="str">
        <f>IFERROR(VLOOKUP($E$2&amp;D15,#REF!,5,FALSE)," ")</f>
        <v xml:space="preserve"> </v>
      </c>
      <c r="L15" s="28" t="str">
        <f>IFERROR(VLOOKUP($E$2&amp;D15,#REF!,6,FALSE)," ")</f>
        <v xml:space="preserve"> </v>
      </c>
      <c r="M15" s="28" t="str">
        <f>IFERROR(VLOOKUP($E$2&amp;D15,#REF!,7,FALSE)," ")</f>
        <v xml:space="preserve"> </v>
      </c>
      <c r="N15" s="29" t="str">
        <f>IFERROR(VLOOKUP($E$2&amp;D15,#REF!,8,FALSE)," ")</f>
        <v xml:space="preserve"> </v>
      </c>
      <c r="O15" s="30" t="str">
        <f>IFERROR(VLOOKUP($E$2&amp;D15,#REF!,9,FALSE)," ")</f>
        <v xml:space="preserve"> </v>
      </c>
      <c r="P15" s="30" t="str">
        <f>IFERROR(VLOOKUP($E$2&amp;D15,#REF!,10,FALSE)," ")</f>
        <v xml:space="preserve"> </v>
      </c>
      <c r="Q15" s="30" t="str">
        <f>IFERROR(VLOOKUP($E$2&amp;D15,#REF!,13,FALSE)," ")</f>
        <v xml:space="preserve"> </v>
      </c>
      <c r="R15" s="46" t="str">
        <f>IFERROR(VLOOKUP($E$2&amp;D15,#REF!,14,FALSE)," ")</f>
        <v xml:space="preserve"> </v>
      </c>
      <c r="S15" s="15"/>
      <c r="T15" s="15"/>
      <c r="U15" s="1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3.25" customHeight="1" outlineLevel="1">
      <c r="A16" s="1"/>
      <c r="B16" s="15"/>
      <c r="C16" s="1"/>
      <c r="D16" s="19">
        <v>7</v>
      </c>
      <c r="E16" s="19" t="str">
        <f>IFERROR(VLOOKUP($E$2&amp;D16,#REF!,2,FALSE)," ")</f>
        <v xml:space="preserve"> </v>
      </c>
      <c r="F16" s="47" t="str">
        <f>IFERROR(VLOOKUP($E$2&amp;D16,#REF!,3,FALSE)," ")</f>
        <v xml:space="preserve"> </v>
      </c>
      <c r="G16" s="877" t="str">
        <f>IFERROR(VLOOKUP($E$2&amp;D16,#REF!,4,FALSE)," ")</f>
        <v xml:space="preserve"> </v>
      </c>
      <c r="H16" s="877"/>
      <c r="I16" s="877"/>
      <c r="J16" s="877"/>
      <c r="K16" s="19" t="str">
        <f>IFERROR(VLOOKUP($E$2&amp;D16,#REF!,5,FALSE)," ")</f>
        <v xml:space="preserve"> </v>
      </c>
      <c r="L16" s="26" t="str">
        <f>IFERROR(VLOOKUP($E$2&amp;D16,#REF!,6,FALSE)," ")</f>
        <v xml:space="preserve"> </v>
      </c>
      <c r="M16" s="26" t="str">
        <f>IFERROR(VLOOKUP($E$2&amp;D16,#REF!,7,FALSE)," ")</f>
        <v xml:space="preserve"> </v>
      </c>
      <c r="N16" s="27" t="str">
        <f>IFERROR(VLOOKUP($E$2&amp;D16,#REF!,8,FALSE)," ")</f>
        <v xml:space="preserve"> </v>
      </c>
      <c r="O16" s="22" t="str">
        <f>IFERROR(VLOOKUP($E$2&amp;D16,#REF!,9,FALSE)," ")</f>
        <v xml:space="preserve"> </v>
      </c>
      <c r="P16" s="22" t="str">
        <f>IFERROR(VLOOKUP($E$2&amp;D16,#REF!,10,FALSE)," ")</f>
        <v xml:space="preserve"> </v>
      </c>
      <c r="Q16" s="22" t="str">
        <f>IFERROR(VLOOKUP($E$2&amp;D16,#REF!,13,FALSE)," ")</f>
        <v xml:space="preserve"> </v>
      </c>
      <c r="R16" s="19" t="str">
        <f>IFERROR(VLOOKUP($E$2&amp;D16,#REF!,14,FALSE)," ")</f>
        <v xml:space="preserve"> </v>
      </c>
      <c r="S16" s="15"/>
      <c r="T16" s="15"/>
      <c r="U16" s="1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3.25" customHeight="1" outlineLevel="1">
      <c r="A17" s="1"/>
      <c r="B17" s="15"/>
      <c r="C17" s="1"/>
      <c r="D17" s="46">
        <v>8</v>
      </c>
      <c r="E17" s="46" t="str">
        <f>IFERROR(VLOOKUP($E$2&amp;D17,#REF!,2,FALSE)," ")</f>
        <v xml:space="preserve"> </v>
      </c>
      <c r="F17" s="48" t="str">
        <f>IFERROR(VLOOKUP($E$2&amp;D17,#REF!,3,FALSE)," ")</f>
        <v xml:space="preserve"> </v>
      </c>
      <c r="G17" s="879" t="str">
        <f>IFERROR(VLOOKUP($E$2&amp;D17,#REF!,4,FALSE)," ")</f>
        <v xml:space="preserve"> </v>
      </c>
      <c r="H17" s="879"/>
      <c r="I17" s="879"/>
      <c r="J17" s="879"/>
      <c r="K17" s="46" t="str">
        <f>IFERROR(VLOOKUP($E$2&amp;D17,#REF!,5,FALSE)," ")</f>
        <v xml:space="preserve"> </v>
      </c>
      <c r="L17" s="28" t="str">
        <f>IFERROR(VLOOKUP($E$2&amp;D17,#REF!,6,FALSE)," ")</f>
        <v xml:space="preserve"> </v>
      </c>
      <c r="M17" s="28" t="str">
        <f>IFERROR(VLOOKUP($E$2&amp;D17,#REF!,7,FALSE)," ")</f>
        <v xml:space="preserve"> </v>
      </c>
      <c r="N17" s="29" t="str">
        <f>IFERROR(VLOOKUP($E$2&amp;D17,#REF!,8,FALSE)," ")</f>
        <v xml:space="preserve"> </v>
      </c>
      <c r="O17" s="30" t="str">
        <f>IFERROR(VLOOKUP($E$2&amp;D17,#REF!,9,FALSE)," ")</f>
        <v xml:space="preserve"> </v>
      </c>
      <c r="P17" s="30" t="str">
        <f>IFERROR(VLOOKUP($E$2&amp;D17,#REF!,10,FALSE)," ")</f>
        <v xml:space="preserve"> </v>
      </c>
      <c r="Q17" s="30" t="str">
        <f>IFERROR(VLOOKUP($E$2&amp;D17,#REF!,13,FALSE)," ")</f>
        <v xml:space="preserve"> </v>
      </c>
      <c r="R17" s="46" t="str">
        <f>IFERROR(VLOOKUP($E$2&amp;D17,#REF!,14,FALSE)," ")</f>
        <v xml:space="preserve"> </v>
      </c>
      <c r="S17" s="15"/>
      <c r="T17" s="15"/>
      <c r="U17" s="1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3.25" customHeight="1" outlineLevel="1">
      <c r="A18" s="1"/>
      <c r="B18" s="15"/>
      <c r="C18" s="1"/>
      <c r="D18" s="19">
        <v>9</v>
      </c>
      <c r="E18" s="19" t="str">
        <f>IFERROR(VLOOKUP($E$2&amp;D18,#REF!,2,FALSE)," ")</f>
        <v xml:space="preserve"> </v>
      </c>
      <c r="F18" s="47" t="str">
        <f>IFERROR(VLOOKUP($E$2&amp;D18,#REF!,3,FALSE)," ")</f>
        <v xml:space="preserve"> </v>
      </c>
      <c r="G18" s="877" t="str">
        <f>IFERROR(VLOOKUP($E$2&amp;D18,#REF!,4,FALSE)," ")</f>
        <v xml:space="preserve"> </v>
      </c>
      <c r="H18" s="877"/>
      <c r="I18" s="877"/>
      <c r="J18" s="877"/>
      <c r="K18" s="19" t="str">
        <f>IFERROR(VLOOKUP($E$2&amp;D18,#REF!,5,FALSE)," ")</f>
        <v xml:space="preserve"> </v>
      </c>
      <c r="L18" s="26" t="str">
        <f>IFERROR(VLOOKUP($E$2&amp;D18,#REF!,6,FALSE)," ")</f>
        <v xml:space="preserve"> </v>
      </c>
      <c r="M18" s="26" t="str">
        <f>IFERROR(VLOOKUP($E$2&amp;D18,#REF!,7,FALSE)," ")</f>
        <v xml:space="preserve"> </v>
      </c>
      <c r="N18" s="27" t="str">
        <f>IFERROR(VLOOKUP($E$2&amp;D18,#REF!,8,FALSE)," ")</f>
        <v xml:space="preserve"> </v>
      </c>
      <c r="O18" s="22" t="str">
        <f>IFERROR(VLOOKUP($E$2&amp;D18,#REF!,9,FALSE)," ")</f>
        <v xml:space="preserve"> </v>
      </c>
      <c r="P18" s="22" t="str">
        <f>IFERROR(VLOOKUP($E$2&amp;D18,#REF!,10,FALSE)," ")</f>
        <v xml:space="preserve"> </v>
      </c>
      <c r="Q18" s="22" t="str">
        <f>IFERROR(VLOOKUP($E$2&amp;D18,#REF!,13,FALSE)," ")</f>
        <v xml:space="preserve"> </v>
      </c>
      <c r="R18" s="19" t="str">
        <f>IFERROR(VLOOKUP($E$2&amp;D18,#REF!,14,FALSE)," ")</f>
        <v xml:space="preserve"> </v>
      </c>
      <c r="S18" s="15"/>
      <c r="T18" s="15"/>
      <c r="U18" s="15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23.25" customHeight="1" outlineLevel="1">
      <c r="A19" s="1"/>
      <c r="B19" s="15"/>
      <c r="C19" s="1"/>
      <c r="D19" s="46">
        <v>10</v>
      </c>
      <c r="E19" s="46" t="str">
        <f>IFERROR(VLOOKUP($E$2&amp;D19,#REF!,2,FALSE)," ")</f>
        <v xml:space="preserve"> </v>
      </c>
      <c r="F19" s="46" t="str">
        <f>IFERROR(VLOOKUP($E$2&amp;D19,#REF!,3,FALSE)," ")</f>
        <v xml:space="preserve"> </v>
      </c>
      <c r="G19" s="880" t="str">
        <f>IFERROR(VLOOKUP($E$2&amp;D19,#REF!,4,FALSE)," ")</f>
        <v xml:space="preserve"> </v>
      </c>
      <c r="H19" s="880"/>
      <c r="I19" s="880"/>
      <c r="J19" s="880"/>
      <c r="K19" s="46" t="str">
        <f>IFERROR(VLOOKUP($E$2&amp;D19,#REF!,5,FALSE)," ")</f>
        <v xml:space="preserve"> </v>
      </c>
      <c r="L19" s="28" t="str">
        <f>IFERROR(VLOOKUP($E$2&amp;D19,#REF!,6,FALSE)," ")</f>
        <v xml:space="preserve"> </v>
      </c>
      <c r="M19" s="28" t="str">
        <f>IFERROR(VLOOKUP($E$2&amp;D19,#REF!,7,FALSE)," ")</f>
        <v xml:space="preserve"> </v>
      </c>
      <c r="N19" s="29" t="str">
        <f>IFERROR(VLOOKUP($E$2&amp;D19,#REF!,8,FALSE)," ")</f>
        <v xml:space="preserve"> </v>
      </c>
      <c r="O19" s="30" t="str">
        <f>IFERROR(VLOOKUP($E$2&amp;D19,#REF!,9,FALSE)," ")</f>
        <v xml:space="preserve"> </v>
      </c>
      <c r="P19" s="30" t="str">
        <f>IFERROR(VLOOKUP($E$2&amp;D19,#REF!,10,FALSE)," ")</f>
        <v xml:space="preserve"> </v>
      </c>
      <c r="Q19" s="30" t="str">
        <f>IFERROR(VLOOKUP($E$2&amp;D19,#REF!,13,FALSE)," ")</f>
        <v xml:space="preserve"> </v>
      </c>
      <c r="R19" s="46" t="str">
        <f>IFERROR(VLOOKUP($E$2&amp;D19,#REF!,14,FALSE)," ")</f>
        <v xml:space="preserve"> </v>
      </c>
      <c r="S19" s="15"/>
      <c r="T19" s="15"/>
      <c r="U19" s="1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26.25" customHeight="1" outlineLevel="1">
      <c r="A20" s="1"/>
      <c r="B20" s="15"/>
      <c r="C20" s="1"/>
      <c r="D20" s="19">
        <v>11</v>
      </c>
      <c r="E20" s="19" t="str">
        <f>IFERROR(VLOOKUP($E$2&amp;D20,#REF!,2,FALSE)," ")</f>
        <v xml:space="preserve"> </v>
      </c>
      <c r="F20" s="19" t="str">
        <f>IFERROR(VLOOKUP($E$2&amp;D20,#REF!,3,FALSE)," ")</f>
        <v xml:space="preserve"> </v>
      </c>
      <c r="G20" s="877" t="str">
        <f>IFERROR(VLOOKUP($E$2&amp;D20,#REF!,4,FALSE)," ")</f>
        <v xml:space="preserve"> </v>
      </c>
      <c r="H20" s="877"/>
      <c r="I20" s="877"/>
      <c r="J20" s="877"/>
      <c r="K20" s="19" t="str">
        <f>IFERROR(VLOOKUP($E$2&amp;D20,#REF!,5,FALSE)," ")</f>
        <v xml:space="preserve"> </v>
      </c>
      <c r="L20" s="26" t="str">
        <f>IFERROR(VLOOKUP($E$2&amp;D20,#REF!,6,FALSE)," ")</f>
        <v xml:space="preserve"> </v>
      </c>
      <c r="M20" s="26" t="str">
        <f>IFERROR(VLOOKUP($E$2&amp;D20,#REF!,7,FALSE)," ")</f>
        <v xml:space="preserve"> </v>
      </c>
      <c r="N20" s="27" t="str">
        <f>IFERROR(VLOOKUP($E$2&amp;D20,#REF!,8,FALSE)," ")</f>
        <v xml:space="preserve"> </v>
      </c>
      <c r="O20" s="22" t="str">
        <f>IFERROR(VLOOKUP($E$2&amp;D20,#REF!,9,FALSE)," ")</f>
        <v xml:space="preserve"> </v>
      </c>
      <c r="P20" s="22" t="str">
        <f>IFERROR(VLOOKUP($E$2&amp;D20,#REF!,10,FALSE)," ")</f>
        <v xml:space="preserve"> </v>
      </c>
      <c r="Q20" s="22" t="str">
        <f>IFERROR(VLOOKUP($E$2&amp;D20,#REF!,13,FALSE)," ")</f>
        <v xml:space="preserve"> </v>
      </c>
      <c r="R20" s="19" t="str">
        <f>IFERROR(VLOOKUP($E$2&amp;D20,#REF!,14,FALSE)," ")</f>
        <v xml:space="preserve"> </v>
      </c>
      <c r="S20" s="15"/>
      <c r="T20" s="15"/>
      <c r="U20" s="1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7.25" customHeight="1" outlineLevel="1">
      <c r="A21" s="1"/>
      <c r="B21" s="15"/>
      <c r="C21" s="1"/>
      <c r="D21" s="46">
        <v>12</v>
      </c>
      <c r="E21" s="46" t="str">
        <f>IFERROR(VLOOKUP($E$2&amp;D21,#REF!,2,FALSE)," ")</f>
        <v xml:space="preserve"> </v>
      </c>
      <c r="F21" s="46" t="str">
        <f>IFERROR(VLOOKUP($E$2&amp;D21,#REF!,3,FALSE)," ")</f>
        <v xml:space="preserve"> </v>
      </c>
      <c r="G21" s="883" t="str">
        <f>IFERROR(VLOOKUP($E$2&amp;D21,#REF!,4,FALSE)," ")</f>
        <v xml:space="preserve"> </v>
      </c>
      <c r="H21" s="883"/>
      <c r="I21" s="883"/>
      <c r="J21" s="883"/>
      <c r="K21" s="46" t="str">
        <f>IFERROR(VLOOKUP($E$2&amp;D21,#REF!,5,FALSE)," ")</f>
        <v xml:space="preserve"> </v>
      </c>
      <c r="L21" s="28" t="str">
        <f>IFERROR(VLOOKUP($E$2&amp;D21,#REF!,6,FALSE)," ")</f>
        <v xml:space="preserve"> </v>
      </c>
      <c r="M21" s="28" t="str">
        <f>IFERROR(VLOOKUP($E$2&amp;D21,#REF!,7,FALSE)," ")</f>
        <v xml:space="preserve"> </v>
      </c>
      <c r="N21" s="29" t="str">
        <f>IFERROR(VLOOKUP($E$2&amp;D21,#REF!,8,FALSE)," ")</f>
        <v xml:space="preserve"> </v>
      </c>
      <c r="O21" s="30" t="str">
        <f>IFERROR(VLOOKUP($E$2&amp;D21,#REF!,9,FALSE)," ")</f>
        <v xml:space="preserve"> </v>
      </c>
      <c r="P21" s="30" t="str">
        <f>IFERROR(VLOOKUP($E$2&amp;D21,#REF!,10,FALSE)," ")</f>
        <v xml:space="preserve"> </v>
      </c>
      <c r="Q21" s="30" t="str">
        <f>IFERROR(VLOOKUP($E$2&amp;D21,#REF!,13,FALSE)," ")</f>
        <v xml:space="preserve"> </v>
      </c>
      <c r="R21" s="46" t="str">
        <f>IFERROR(VLOOKUP($E$2&amp;D21,#REF!,14,FALSE)," ")</f>
        <v xml:space="preserve"> </v>
      </c>
      <c r="S21" s="15"/>
      <c r="T21" s="15"/>
      <c r="U21" s="15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7.25" customHeight="1" outlineLevel="1">
      <c r="A22" s="1"/>
      <c r="B22" s="15"/>
      <c r="C22" s="1"/>
      <c r="D22" s="19">
        <v>13</v>
      </c>
      <c r="E22" s="19" t="str">
        <f>IFERROR(VLOOKUP($E$2&amp;D22,#REF!,2,FALSE)," ")</f>
        <v xml:space="preserve"> </v>
      </c>
      <c r="F22" s="19" t="str">
        <f>IFERROR(VLOOKUP($E$2&amp;D22,#REF!,3,FALSE)," ")</f>
        <v xml:space="preserve"> </v>
      </c>
      <c r="G22" s="884" t="str">
        <f>IFERROR(VLOOKUP($E$2&amp;D22,#REF!,4,FALSE)," ")</f>
        <v xml:space="preserve"> </v>
      </c>
      <c r="H22" s="884"/>
      <c r="I22" s="884"/>
      <c r="J22" s="884"/>
      <c r="K22" s="19" t="str">
        <f>IFERROR(VLOOKUP($E$2&amp;D22,#REF!,5,FALSE)," ")</f>
        <v xml:space="preserve"> </v>
      </c>
      <c r="L22" s="26" t="str">
        <f>IFERROR(VLOOKUP($E$2&amp;D22,#REF!,6,FALSE)," ")</f>
        <v xml:space="preserve"> </v>
      </c>
      <c r="M22" s="26" t="str">
        <f>IFERROR(VLOOKUP($E$2&amp;D22,#REF!,7,FALSE)," ")</f>
        <v xml:space="preserve"> </v>
      </c>
      <c r="N22" s="27" t="str">
        <f>IFERROR(VLOOKUP($E$2&amp;D22,#REF!,8,FALSE)," ")</f>
        <v xml:space="preserve"> </v>
      </c>
      <c r="O22" s="22" t="str">
        <f>IFERROR(VLOOKUP($E$2&amp;D22,#REF!,9,FALSE)," ")</f>
        <v xml:space="preserve"> </v>
      </c>
      <c r="P22" s="22" t="str">
        <f>IFERROR(VLOOKUP($E$2&amp;D22,#REF!,10,FALSE)," ")</f>
        <v xml:space="preserve"> </v>
      </c>
      <c r="Q22" s="22" t="str">
        <f>IFERROR(VLOOKUP($E$2&amp;D22,#REF!,13,FALSE)," ")</f>
        <v xml:space="preserve"> </v>
      </c>
      <c r="R22" s="19" t="str">
        <f>IFERROR(VLOOKUP($E$2&amp;D22,#REF!,14,FALSE)," ")</f>
        <v xml:space="preserve"> </v>
      </c>
      <c r="S22" s="15"/>
      <c r="T22" s="15"/>
      <c r="U22" s="15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7.25" customHeight="1" outlineLevel="1">
      <c r="A23" s="1"/>
      <c r="B23" s="15"/>
      <c r="C23" s="1"/>
      <c r="D23" s="46">
        <v>14</v>
      </c>
      <c r="E23" s="46" t="str">
        <f>IFERROR(VLOOKUP($E$2&amp;D23,#REF!,2,FALSE)," ")</f>
        <v xml:space="preserve"> </v>
      </c>
      <c r="F23" s="46" t="str">
        <f>IFERROR(VLOOKUP($E$2&amp;D23,#REF!,3,FALSE)," ")</f>
        <v xml:space="preserve"> </v>
      </c>
      <c r="G23" s="883" t="str">
        <f>IFERROR(VLOOKUP($E$2&amp;D23,#REF!,4,FALSE)," ")</f>
        <v xml:space="preserve"> </v>
      </c>
      <c r="H23" s="883"/>
      <c r="I23" s="883"/>
      <c r="J23" s="883"/>
      <c r="K23" s="46" t="str">
        <f>IFERROR(VLOOKUP($E$2&amp;D23,#REF!,5,FALSE)," ")</f>
        <v xml:space="preserve"> </v>
      </c>
      <c r="L23" s="28" t="str">
        <f>IFERROR(VLOOKUP($E$2&amp;D23,#REF!,6,FALSE)," ")</f>
        <v xml:space="preserve"> </v>
      </c>
      <c r="M23" s="28" t="str">
        <f>IFERROR(VLOOKUP($E$2&amp;D23,#REF!,7,FALSE)," ")</f>
        <v xml:space="preserve"> </v>
      </c>
      <c r="N23" s="29" t="str">
        <f>IFERROR(VLOOKUP($E$2&amp;D23,#REF!,8,FALSE)," ")</f>
        <v xml:space="preserve"> </v>
      </c>
      <c r="O23" s="30" t="str">
        <f>IFERROR(VLOOKUP($E$2&amp;D23,#REF!,9,FALSE)," ")</f>
        <v xml:space="preserve"> </v>
      </c>
      <c r="P23" s="30" t="str">
        <f>IFERROR(VLOOKUP($E$2&amp;D23,#REF!,10,FALSE)," ")</f>
        <v xml:space="preserve"> </v>
      </c>
      <c r="Q23" s="30" t="str">
        <f>IFERROR(VLOOKUP($E$2&amp;D23,#REF!,13,FALSE)," ")</f>
        <v xml:space="preserve"> </v>
      </c>
      <c r="R23" s="46" t="str">
        <f>IFERROR(VLOOKUP($E$2&amp;D23,#REF!,14,FALSE)," ")</f>
        <v xml:space="preserve"> </v>
      </c>
      <c r="S23" s="15"/>
      <c r="T23" s="15"/>
      <c r="U23" s="1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7.25" customHeight="1" outlineLevel="1">
      <c r="A24" s="1"/>
      <c r="B24" s="15"/>
      <c r="C24" s="1"/>
      <c r="D24" s="19">
        <v>15</v>
      </c>
      <c r="E24" s="19" t="str">
        <f>IFERROR(VLOOKUP($E$2&amp;D24,#REF!,2,FALSE)," ")</f>
        <v xml:space="preserve"> </v>
      </c>
      <c r="F24" s="19" t="str">
        <f>IFERROR(VLOOKUP($E$2&amp;D24,#REF!,3,FALSE)," ")</f>
        <v xml:space="preserve"> </v>
      </c>
      <c r="G24" s="884" t="str">
        <f>IFERROR(VLOOKUP($E$2&amp;D24,#REF!,4,FALSE)," ")</f>
        <v xml:space="preserve"> </v>
      </c>
      <c r="H24" s="884"/>
      <c r="I24" s="884"/>
      <c r="J24" s="884"/>
      <c r="K24" s="19" t="str">
        <f>IFERROR(VLOOKUP($E$2&amp;D24,#REF!,5,FALSE)," ")</f>
        <v xml:space="preserve"> </v>
      </c>
      <c r="L24" s="26" t="str">
        <f>IFERROR(VLOOKUP($E$2&amp;D24,#REF!,6,FALSE)," ")</f>
        <v xml:space="preserve"> </v>
      </c>
      <c r="M24" s="26" t="str">
        <f>IFERROR(VLOOKUP($E$2&amp;D24,#REF!,7,FALSE)," ")</f>
        <v xml:space="preserve"> </v>
      </c>
      <c r="N24" s="27" t="str">
        <f>IFERROR(VLOOKUP($E$2&amp;D24,#REF!,8,FALSE)," ")</f>
        <v xml:space="preserve"> </v>
      </c>
      <c r="O24" s="22" t="str">
        <f>IFERROR(VLOOKUP($E$2&amp;D24,#REF!,9,FALSE)," ")</f>
        <v xml:space="preserve"> </v>
      </c>
      <c r="P24" s="22" t="str">
        <f>IFERROR(VLOOKUP($E$2&amp;D24,#REF!,10,FALSE)," ")</f>
        <v xml:space="preserve"> </v>
      </c>
      <c r="Q24" s="22" t="str">
        <f>IFERROR(VLOOKUP($E$2&amp;D24,#REF!,13,FALSE)," ")</f>
        <v xml:space="preserve"> </v>
      </c>
      <c r="R24" s="19" t="str">
        <f>IFERROR(VLOOKUP($E$2&amp;D24,#REF!,14,FALSE)," ")</f>
        <v xml:space="preserve"> </v>
      </c>
      <c r="S24" s="15"/>
      <c r="T24" s="15"/>
      <c r="U24" s="1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7.25" customHeight="1" outlineLevel="1">
      <c r="A25" s="1"/>
      <c r="B25" s="15"/>
      <c r="C25" s="1"/>
      <c r="D25" s="46">
        <v>16</v>
      </c>
      <c r="E25" s="46" t="str">
        <f>IFERROR(VLOOKUP($E$2&amp;D25,#REF!,2,FALSE)," ")</f>
        <v xml:space="preserve"> </v>
      </c>
      <c r="F25" s="46" t="str">
        <f>IFERROR(VLOOKUP($E$2&amp;D25,#REF!,3,FALSE)," ")</f>
        <v xml:space="preserve"> </v>
      </c>
      <c r="G25" s="883" t="str">
        <f>IFERROR(VLOOKUP($E$2&amp;D25,#REF!,4,FALSE)," ")</f>
        <v xml:space="preserve"> </v>
      </c>
      <c r="H25" s="883"/>
      <c r="I25" s="883"/>
      <c r="J25" s="883"/>
      <c r="K25" s="46" t="str">
        <f>IFERROR(VLOOKUP($E$2&amp;D25,#REF!,5,FALSE)," ")</f>
        <v xml:space="preserve"> </v>
      </c>
      <c r="L25" s="28" t="str">
        <f>IFERROR(VLOOKUP($E$2&amp;D25,#REF!,6,FALSE)," ")</f>
        <v xml:space="preserve"> </v>
      </c>
      <c r="M25" s="28" t="str">
        <f>IFERROR(VLOOKUP($E$2&amp;D25,#REF!,7,FALSE)," ")</f>
        <v xml:space="preserve"> </v>
      </c>
      <c r="N25" s="29" t="str">
        <f>IFERROR(VLOOKUP($E$2&amp;D25,#REF!,8,FALSE)," ")</f>
        <v xml:space="preserve"> </v>
      </c>
      <c r="O25" s="30" t="str">
        <f>IFERROR(VLOOKUP($E$2&amp;D25,#REF!,9,FALSE)," ")</f>
        <v xml:space="preserve"> </v>
      </c>
      <c r="P25" s="30" t="str">
        <f>IFERROR(VLOOKUP($E$2&amp;D25,#REF!,10,FALSE)," ")</f>
        <v xml:space="preserve"> </v>
      </c>
      <c r="Q25" s="30" t="str">
        <f>IFERROR(VLOOKUP($E$2&amp;D25,#REF!,13,FALSE)," ")</f>
        <v xml:space="preserve"> </v>
      </c>
      <c r="R25" s="46" t="str">
        <f>IFERROR(VLOOKUP($E$2&amp;D25,#REF!,14,FALSE)," ")</f>
        <v xml:space="preserve"> </v>
      </c>
      <c r="S25" s="15"/>
      <c r="T25" s="15"/>
      <c r="U25" s="1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7.25" customHeight="1" outlineLevel="1">
      <c r="A26" s="1"/>
      <c r="B26" s="15"/>
      <c r="C26" s="1"/>
      <c r="D26" s="19">
        <v>17</v>
      </c>
      <c r="E26" s="19" t="str">
        <f>IFERROR(VLOOKUP($E$2&amp;D26,#REF!,2,FALSE)," ")</f>
        <v xml:space="preserve"> </v>
      </c>
      <c r="F26" s="19" t="str">
        <f>IFERROR(VLOOKUP($E$2&amp;D26,#REF!,3,FALSE)," ")</f>
        <v xml:space="preserve"> </v>
      </c>
      <c r="G26" s="884" t="str">
        <f>IFERROR(VLOOKUP($E$2&amp;D26,#REF!,4,FALSE)," ")</f>
        <v xml:space="preserve"> </v>
      </c>
      <c r="H26" s="884"/>
      <c r="I26" s="884"/>
      <c r="J26" s="884"/>
      <c r="K26" s="19" t="str">
        <f>IFERROR(VLOOKUP($E$2&amp;D26,#REF!,5,FALSE)," ")</f>
        <v xml:space="preserve"> </v>
      </c>
      <c r="L26" s="26" t="str">
        <f>IFERROR(VLOOKUP($E$2&amp;D26,#REF!,6,FALSE)," ")</f>
        <v xml:space="preserve"> </v>
      </c>
      <c r="M26" s="26" t="str">
        <f>IFERROR(VLOOKUP($E$2&amp;D26,#REF!,7,FALSE)," ")</f>
        <v xml:space="preserve"> </v>
      </c>
      <c r="N26" s="27" t="str">
        <f>IFERROR(VLOOKUP($E$2&amp;D26,#REF!,8,FALSE)," ")</f>
        <v xml:space="preserve"> </v>
      </c>
      <c r="O26" s="22" t="str">
        <f>IFERROR(VLOOKUP($E$2&amp;D26,#REF!,9,FALSE)," ")</f>
        <v xml:space="preserve"> </v>
      </c>
      <c r="P26" s="22" t="str">
        <f>IFERROR(VLOOKUP($E$2&amp;D26,#REF!,10,FALSE)," ")</f>
        <v xml:space="preserve"> </v>
      </c>
      <c r="Q26" s="22" t="str">
        <f>IFERROR(VLOOKUP($E$2&amp;D26,#REF!,13,FALSE)," ")</f>
        <v xml:space="preserve"> </v>
      </c>
      <c r="R26" s="19" t="str">
        <f>IFERROR(VLOOKUP($E$2&amp;D26,#REF!,14,FALSE)," ")</f>
        <v xml:space="preserve"> </v>
      </c>
      <c r="S26" s="15"/>
      <c r="T26" s="15"/>
      <c r="U26" s="15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7.25" customHeight="1" outlineLevel="1">
      <c r="A27" s="1"/>
      <c r="B27" s="15"/>
      <c r="C27" s="1"/>
      <c r="D27" s="46">
        <v>18</v>
      </c>
      <c r="E27" s="46" t="str">
        <f>IFERROR(VLOOKUP($E$2&amp;D27,#REF!,2,FALSE)," ")</f>
        <v xml:space="preserve"> </v>
      </c>
      <c r="F27" s="46" t="str">
        <f>IFERROR(VLOOKUP($E$2&amp;D27,#REF!,3,FALSE)," ")</f>
        <v xml:space="preserve"> </v>
      </c>
      <c r="G27" s="883" t="str">
        <f>IFERROR(VLOOKUP($E$2&amp;D27,#REF!,4,FALSE)," ")</f>
        <v xml:space="preserve"> </v>
      </c>
      <c r="H27" s="883"/>
      <c r="I27" s="883"/>
      <c r="J27" s="883"/>
      <c r="K27" s="46" t="str">
        <f>IFERROR(VLOOKUP($E$2&amp;D27,#REF!,5,FALSE)," ")</f>
        <v xml:space="preserve"> </v>
      </c>
      <c r="L27" s="28" t="str">
        <f>IFERROR(VLOOKUP($E$2&amp;D27,#REF!,6,FALSE)," ")</f>
        <v xml:space="preserve"> </v>
      </c>
      <c r="M27" s="28" t="str">
        <f>IFERROR(VLOOKUP($E$2&amp;D27,#REF!,7,FALSE)," ")</f>
        <v xml:space="preserve"> </v>
      </c>
      <c r="N27" s="29" t="str">
        <f>IFERROR(VLOOKUP($E$2&amp;D27,#REF!,8,FALSE)," ")</f>
        <v xml:space="preserve"> </v>
      </c>
      <c r="O27" s="30" t="str">
        <f>IFERROR(VLOOKUP($E$2&amp;D27,#REF!,9,FALSE)," ")</f>
        <v xml:space="preserve"> </v>
      </c>
      <c r="P27" s="30" t="str">
        <f>IFERROR(VLOOKUP($E$2&amp;D27,#REF!,10,FALSE)," ")</f>
        <v xml:space="preserve"> </v>
      </c>
      <c r="Q27" s="30" t="str">
        <f>IFERROR(VLOOKUP($E$2&amp;D27,#REF!,13,FALSE)," ")</f>
        <v xml:space="preserve"> </v>
      </c>
      <c r="R27" s="46" t="str">
        <f>IFERROR(VLOOKUP($E$2&amp;D27,#REF!,14,FALSE)," ")</f>
        <v xml:space="preserve"> </v>
      </c>
      <c r="S27" s="15"/>
      <c r="T27" s="15"/>
      <c r="U27" s="15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7.25" customHeight="1" outlineLevel="1">
      <c r="A28" s="1"/>
      <c r="B28" s="15"/>
      <c r="C28" s="1"/>
      <c r="D28" s="19">
        <v>19</v>
      </c>
      <c r="E28" s="19" t="str">
        <f>IFERROR(VLOOKUP($E$2&amp;D28,#REF!,2,FALSE)," ")</f>
        <v xml:space="preserve"> </v>
      </c>
      <c r="F28" s="19" t="str">
        <f>IFERROR(VLOOKUP($E$2&amp;D28,#REF!,3,FALSE)," ")</f>
        <v xml:space="preserve"> </v>
      </c>
      <c r="G28" s="884" t="str">
        <f>IFERROR(VLOOKUP($E$2&amp;D28,#REF!,4,FALSE)," ")</f>
        <v xml:space="preserve"> </v>
      </c>
      <c r="H28" s="884"/>
      <c r="I28" s="884"/>
      <c r="J28" s="884"/>
      <c r="K28" s="19" t="str">
        <f>IFERROR(VLOOKUP($E$2&amp;D28,#REF!,5,FALSE)," ")</f>
        <v xml:space="preserve"> </v>
      </c>
      <c r="L28" s="26" t="str">
        <f>IFERROR(VLOOKUP($E$2&amp;D28,#REF!,6,FALSE)," ")</f>
        <v xml:space="preserve"> </v>
      </c>
      <c r="M28" s="26" t="str">
        <f>IFERROR(VLOOKUP($E$2&amp;D28,#REF!,7,FALSE)," ")</f>
        <v xml:space="preserve"> </v>
      </c>
      <c r="N28" s="27" t="str">
        <f>IFERROR(VLOOKUP($E$2&amp;D28,#REF!,8,FALSE)," ")</f>
        <v xml:space="preserve"> </v>
      </c>
      <c r="O28" s="22" t="str">
        <f>IFERROR(VLOOKUP($E$2&amp;D28,#REF!,9,FALSE)," ")</f>
        <v xml:space="preserve"> </v>
      </c>
      <c r="P28" s="22" t="str">
        <f>IFERROR(VLOOKUP($E$2&amp;D28,#REF!,10,FALSE)," ")</f>
        <v xml:space="preserve"> </v>
      </c>
      <c r="Q28" s="22" t="str">
        <f>IFERROR(VLOOKUP($E$2&amp;D28,#REF!,13,FALSE)," ")</f>
        <v xml:space="preserve"> </v>
      </c>
      <c r="R28" s="19" t="str">
        <f>IFERROR(VLOOKUP($E$2&amp;D28,#REF!,14,FALSE)," ")</f>
        <v xml:space="preserve"> </v>
      </c>
      <c r="S28" s="15"/>
      <c r="T28" s="15"/>
      <c r="U28" s="15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7.25" customHeight="1" outlineLevel="1">
      <c r="A29" s="1"/>
      <c r="B29" s="15"/>
      <c r="C29" s="1"/>
      <c r="D29" s="46">
        <v>20</v>
      </c>
      <c r="E29" s="46" t="str">
        <f>IFERROR(VLOOKUP($E$2&amp;D29,#REF!,2,FALSE)," ")</f>
        <v xml:space="preserve"> </v>
      </c>
      <c r="F29" s="46" t="str">
        <f>IFERROR(VLOOKUP($E$2&amp;D29,#REF!,3,FALSE)," ")</f>
        <v xml:space="preserve"> </v>
      </c>
      <c r="G29" s="883" t="str">
        <f>IFERROR(VLOOKUP($E$2&amp;D29,#REF!,4,FALSE)," ")</f>
        <v xml:space="preserve"> </v>
      </c>
      <c r="H29" s="883"/>
      <c r="I29" s="883"/>
      <c r="J29" s="883"/>
      <c r="K29" s="46" t="str">
        <f>IFERROR(VLOOKUP($E$2&amp;D29,#REF!,5,FALSE)," ")</f>
        <v xml:space="preserve"> </v>
      </c>
      <c r="L29" s="28" t="str">
        <f>IFERROR(VLOOKUP($E$2&amp;D29,#REF!,6,FALSE)," ")</f>
        <v xml:space="preserve"> </v>
      </c>
      <c r="M29" s="28" t="str">
        <f>IFERROR(VLOOKUP($E$2&amp;D29,#REF!,7,FALSE)," ")</f>
        <v xml:space="preserve"> </v>
      </c>
      <c r="N29" s="29" t="str">
        <f>IFERROR(VLOOKUP($E$2&amp;D29,#REF!,8,FALSE)," ")</f>
        <v xml:space="preserve"> </v>
      </c>
      <c r="O29" s="30" t="str">
        <f>IFERROR(VLOOKUP($E$2&amp;D29,#REF!,9,FALSE)," ")</f>
        <v xml:space="preserve"> </v>
      </c>
      <c r="P29" s="30" t="str">
        <f>IFERROR(VLOOKUP($E$2&amp;D29,#REF!,10,FALSE)," ")</f>
        <v xml:space="preserve"> </v>
      </c>
      <c r="Q29" s="30" t="str">
        <f>IFERROR(VLOOKUP($E$2&amp;D29,#REF!,13,FALSE)," ")</f>
        <v xml:space="preserve"> </v>
      </c>
      <c r="R29" s="46" t="str">
        <f>IFERROR(VLOOKUP($E$2&amp;D29,#REF!,14,FALSE)," ")</f>
        <v xml:space="preserve"> </v>
      </c>
      <c r="S29" s="15"/>
      <c r="T29" s="15"/>
      <c r="U29" s="15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.75">
      <c r="A30" s="1"/>
      <c r="B30" s="15"/>
      <c r="C30" s="1"/>
      <c r="D30" s="35"/>
      <c r="E30" s="44" t="s">
        <v>32</v>
      </c>
      <c r="F30" s="35"/>
      <c r="G30" s="36"/>
      <c r="H30" s="36"/>
      <c r="I30" s="35"/>
      <c r="J30" s="35"/>
      <c r="K30" s="17"/>
      <c r="L30" s="17"/>
      <c r="M30" s="17"/>
      <c r="N30" s="49"/>
      <c r="O30" s="50">
        <f>SUM(O10:O29)</f>
        <v>0</v>
      </c>
      <c r="P30" s="51" t="str">
        <f>P10</f>
        <v xml:space="preserve"> </v>
      </c>
      <c r="Q30" s="52">
        <f>SUM(Q10:Q29)</f>
        <v>0</v>
      </c>
      <c r="R30" s="51" t="str">
        <f>R10</f>
        <v xml:space="preserve"> </v>
      </c>
      <c r="S30" s="15"/>
      <c r="T30" s="1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3">
      <c r="A31" s="1"/>
      <c r="B31" s="15"/>
      <c r="C31" s="1"/>
      <c r="D31" s="1"/>
      <c r="E31" s="1"/>
      <c r="F31" s="1"/>
      <c r="G31" s="14"/>
      <c r="H31" s="14"/>
      <c r="I31" s="15"/>
      <c r="J31" s="15"/>
      <c r="K31" s="15"/>
      <c r="L31" s="15"/>
      <c r="M31" s="15"/>
      <c r="N31" s="15"/>
      <c r="O31" s="20"/>
      <c r="P31" s="1"/>
      <c r="Q31" s="14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3">
      <c r="A32" s="1"/>
      <c r="B32" s="15"/>
      <c r="C32" s="1"/>
      <c r="D32" s="6" t="s">
        <v>28</v>
      </c>
      <c r="E32" s="1"/>
      <c r="F32" s="1"/>
      <c r="G32" s="14"/>
      <c r="H32" s="14"/>
      <c r="I32" s="15"/>
      <c r="J32" s="15"/>
      <c r="K32" s="15"/>
      <c r="L32" s="15"/>
      <c r="M32" s="15"/>
      <c r="N32" s="15"/>
      <c r="O32" s="20"/>
      <c r="P32" s="1"/>
      <c r="Q32" s="4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2" s="12" customFormat="1" ht="7.5" customHeight="1">
      <c r="A33" s="15"/>
      <c r="B33" s="15"/>
      <c r="C33" s="15"/>
      <c r="D33" s="6"/>
      <c r="E33" s="15"/>
      <c r="F33" s="15"/>
      <c r="G33" s="14"/>
      <c r="H33" s="14"/>
      <c r="I33" s="15"/>
      <c r="J33" s="15"/>
      <c r="K33" s="15"/>
      <c r="L33" s="15"/>
      <c r="M33" s="15"/>
      <c r="O33" s="20"/>
      <c r="P33" s="15"/>
      <c r="Q33" s="14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2" outlineLevel="1">
      <c r="A34" s="1"/>
      <c r="B34" s="15"/>
      <c r="C34" s="1"/>
      <c r="D34" s="39" t="s">
        <v>1</v>
      </c>
      <c r="E34" s="39" t="s">
        <v>13</v>
      </c>
      <c r="F34" s="39" t="s">
        <v>14</v>
      </c>
      <c r="G34" s="39"/>
      <c r="H34" s="39" t="s">
        <v>15</v>
      </c>
      <c r="I34" s="40" t="s">
        <v>4</v>
      </c>
      <c r="J34" s="15"/>
      <c r="K34" s="15"/>
      <c r="L34" s="15"/>
      <c r="M34" s="15"/>
      <c r="N34" s="1"/>
      <c r="O34" s="1"/>
      <c r="P34" s="20"/>
      <c r="Q34" s="1"/>
      <c r="R34" s="1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37" customFormat="1" ht="23.25" customHeight="1" outlineLevel="1">
      <c r="A35" s="35"/>
      <c r="B35" s="35"/>
      <c r="C35" s="35"/>
      <c r="D35" s="33">
        <v>1</v>
      </c>
      <c r="E35" s="33" t="str">
        <f>IFERROR(VLOOKUP($E$2&amp;$D35,#REF!,2,FALSE)," ")</f>
        <v xml:space="preserve"> </v>
      </c>
      <c r="F35" s="881" t="str">
        <f>IFERROR(VLOOKUP($E$2&amp;$D35,#REF!,3,FALSE)," ")</f>
        <v xml:space="preserve"> </v>
      </c>
      <c r="G35" s="882"/>
      <c r="H35" s="41" t="str">
        <f>IFERROR(VLOOKUP($E$2&amp;$D35,#REF!,4,FALSE)," ")</f>
        <v xml:space="preserve"> </v>
      </c>
      <c r="I35" s="33" t="str">
        <f>IFERROR(VLOOKUP($E$2&amp;$D35,#REF!,5,FALSE)," ")</f>
        <v xml:space="preserve"> </v>
      </c>
      <c r="J35" s="35"/>
      <c r="K35" s="35"/>
      <c r="L35" s="35"/>
      <c r="M35" s="35"/>
      <c r="N35" s="35"/>
      <c r="O35" s="35"/>
      <c r="P35" s="38"/>
      <c r="Q35" s="35"/>
      <c r="R35" s="3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</row>
    <row r="36" spans="1:32" s="37" customFormat="1" ht="23.25" customHeight="1" outlineLevel="1">
      <c r="A36" s="35"/>
      <c r="B36" s="35"/>
      <c r="C36" s="35"/>
      <c r="D36" s="42">
        <v>2</v>
      </c>
      <c r="E36" s="42" t="str">
        <f>IFERROR(VLOOKUP($E$2&amp;$D36,#REF!,2,FALSE)," ")</f>
        <v xml:space="preserve"> </v>
      </c>
      <c r="F36" s="885" t="str">
        <f>IFERROR(VLOOKUP($E$2&amp;$D36,#REF!,3,FALSE)," ")</f>
        <v xml:space="preserve"> </v>
      </c>
      <c r="G36" s="886"/>
      <c r="H36" s="43" t="str">
        <f>IFERROR(VLOOKUP($E$2&amp;$D36,#REF!,4,FALSE)," ")</f>
        <v xml:space="preserve"> </v>
      </c>
      <c r="I36" s="42" t="str">
        <f>IFERROR(VLOOKUP($E$2&amp;$D36,#REF!,5,FALSE)," ")</f>
        <v xml:space="preserve"> </v>
      </c>
      <c r="J36" s="35"/>
      <c r="K36" s="35"/>
      <c r="L36" s="35"/>
      <c r="M36" s="35"/>
      <c r="N36" s="35"/>
      <c r="P36" s="38"/>
      <c r="Q36" s="35"/>
      <c r="R36" s="3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7" spans="1:32" s="37" customFormat="1" ht="23.25" customHeight="1" outlineLevel="1">
      <c r="A37" s="35"/>
      <c r="B37" s="35"/>
      <c r="C37" s="35"/>
      <c r="D37" s="33">
        <v>3</v>
      </c>
      <c r="E37" s="33" t="str">
        <f>IFERROR(VLOOKUP($E$2&amp;$D37,#REF!,2,FALSE)," ")</f>
        <v xml:space="preserve"> </v>
      </c>
      <c r="F37" s="881" t="str">
        <f>IFERROR(VLOOKUP($E$2&amp;$D37,#REF!,3,FALSE)," ")</f>
        <v xml:space="preserve"> </v>
      </c>
      <c r="G37" s="882"/>
      <c r="H37" s="41" t="str">
        <f>IFERROR(VLOOKUP($E$2&amp;$D37,#REF!,4,FALSE)," ")</f>
        <v xml:space="preserve"> </v>
      </c>
      <c r="I37" s="33" t="str">
        <f>IFERROR(VLOOKUP($E$2&amp;$D37,#REF!,5,FALSE)," ")</f>
        <v xml:space="preserve"> </v>
      </c>
      <c r="J37" s="35"/>
      <c r="K37" s="35"/>
      <c r="L37" s="35"/>
      <c r="M37" s="35"/>
      <c r="N37" s="35"/>
      <c r="O37" s="35"/>
      <c r="P37" s="38"/>
      <c r="Q37" s="35"/>
      <c r="R37" s="3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</row>
    <row r="38" spans="1:32" s="37" customFormat="1" ht="23.25" customHeight="1" outlineLevel="1">
      <c r="A38" s="35"/>
      <c r="B38" s="35"/>
      <c r="C38" s="35"/>
      <c r="D38" s="42">
        <v>4</v>
      </c>
      <c r="E38" s="42" t="str">
        <f>IFERROR(VLOOKUP($E$2&amp;$D38,#REF!,2,FALSE)," ")</f>
        <v xml:space="preserve"> </v>
      </c>
      <c r="F38" s="885" t="str">
        <f>IFERROR(VLOOKUP($E$2&amp;$D38,#REF!,3,FALSE)," ")</f>
        <v xml:space="preserve"> </v>
      </c>
      <c r="G38" s="886"/>
      <c r="H38" s="43" t="str">
        <f>IFERROR(VLOOKUP($E$2&amp;$D38,#REF!,4,FALSE)," ")</f>
        <v xml:space="preserve"> </v>
      </c>
      <c r="I38" s="42" t="str">
        <f>IFERROR(VLOOKUP($E$2&amp;$D38,#REF!,5,FALSE)," ")</f>
        <v xml:space="preserve"> </v>
      </c>
      <c r="J38" s="35"/>
      <c r="K38" s="35"/>
      <c r="L38" s="35"/>
      <c r="M38" s="35"/>
      <c r="N38" s="35"/>
      <c r="O38" s="35"/>
      <c r="P38" s="38"/>
      <c r="Q38" s="35"/>
      <c r="R38" s="3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1:32" s="37" customFormat="1" ht="23.25" customHeight="1" outlineLevel="1">
      <c r="A39" s="35"/>
      <c r="B39" s="35"/>
      <c r="C39" s="35"/>
      <c r="D39" s="33">
        <v>5</v>
      </c>
      <c r="E39" s="33" t="str">
        <f>IFERROR(VLOOKUP($E$2&amp;$D39,#REF!,2,FALSE)," ")</f>
        <v xml:space="preserve"> </v>
      </c>
      <c r="F39" s="881" t="str">
        <f>IFERROR(VLOOKUP($E$2&amp;$D39,#REF!,3,FALSE)," ")</f>
        <v xml:space="preserve"> </v>
      </c>
      <c r="G39" s="882"/>
      <c r="H39" s="41" t="str">
        <f>IFERROR(VLOOKUP($E$2&amp;$D39,#REF!,4,FALSE)," ")</f>
        <v xml:space="preserve"> </v>
      </c>
      <c r="I39" s="33" t="str">
        <f>IFERROR(VLOOKUP($E$2&amp;$D39,#REF!,5,FALSE)," ")</f>
        <v xml:space="preserve"> </v>
      </c>
      <c r="J39" s="35"/>
      <c r="K39" s="35"/>
      <c r="L39" s="35"/>
      <c r="M39" s="35"/>
      <c r="N39" s="35"/>
      <c r="O39" s="35"/>
      <c r="P39" s="38"/>
      <c r="Q39" s="35"/>
      <c r="R39" s="3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s="37" customFormat="1" ht="23.25" customHeight="1" outlineLevel="1">
      <c r="A40" s="35"/>
      <c r="B40" s="35"/>
      <c r="C40" s="35"/>
      <c r="D40" s="42">
        <v>6</v>
      </c>
      <c r="E40" s="42" t="str">
        <f>IFERROR(VLOOKUP($E$2&amp;$D40,#REF!,2,FALSE)," ")</f>
        <v xml:space="preserve"> </v>
      </c>
      <c r="F40" s="885" t="str">
        <f>IFERROR(VLOOKUP($E$2&amp;$D40,#REF!,3,FALSE)," ")</f>
        <v xml:space="preserve"> </v>
      </c>
      <c r="G40" s="886"/>
      <c r="H40" s="43" t="str">
        <f>IFERROR(VLOOKUP($E$2&amp;$D40,#REF!,4,FALSE)," ")</f>
        <v xml:space="preserve"> </v>
      </c>
      <c r="I40" s="42" t="str">
        <f>IFERROR(VLOOKUP($E$2&amp;$D40,#REF!,5,FALSE)," ")</f>
        <v xml:space="preserve"> </v>
      </c>
      <c r="J40" s="35"/>
      <c r="K40" s="35"/>
      <c r="L40" s="35"/>
      <c r="M40" s="35"/>
      <c r="N40" s="35"/>
      <c r="O40" s="35"/>
      <c r="P40" s="38"/>
      <c r="Q40" s="35"/>
      <c r="R40" s="3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s="37" customFormat="1" ht="23.25" customHeight="1" outlineLevel="1">
      <c r="A41" s="35"/>
      <c r="B41" s="35"/>
      <c r="C41" s="35"/>
      <c r="D41" s="33">
        <v>7</v>
      </c>
      <c r="E41" s="33" t="str">
        <f>IFERROR(VLOOKUP($E$2&amp;$D41,#REF!,2,FALSE)," ")</f>
        <v xml:space="preserve"> </v>
      </c>
      <c r="F41" s="881" t="str">
        <f>IFERROR(VLOOKUP($E$2&amp;$D41,#REF!,3,FALSE)," ")</f>
        <v xml:space="preserve"> </v>
      </c>
      <c r="G41" s="882"/>
      <c r="H41" s="41" t="str">
        <f>IFERROR(VLOOKUP($E$2&amp;$D41,#REF!,4,FALSE)," ")</f>
        <v xml:space="preserve"> </v>
      </c>
      <c r="I41" s="33" t="str">
        <f>IFERROR(VLOOKUP($E$2&amp;$D41,#REF!,5,FALSE)," ")</f>
        <v xml:space="preserve"> </v>
      </c>
      <c r="J41" s="35"/>
      <c r="K41" s="35"/>
      <c r="L41" s="35"/>
      <c r="M41" s="35"/>
      <c r="N41" s="35"/>
      <c r="O41" s="35"/>
      <c r="P41" s="38"/>
      <c r="Q41" s="35"/>
      <c r="R41" s="3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32" s="37" customFormat="1" ht="23.25" customHeight="1" outlineLevel="1">
      <c r="A42" s="35"/>
      <c r="B42" s="35"/>
      <c r="C42" s="35"/>
      <c r="D42" s="42">
        <v>8</v>
      </c>
      <c r="E42" s="42" t="str">
        <f>IFERROR(VLOOKUP($E$2&amp;$D42,#REF!,2,FALSE)," ")</f>
        <v xml:space="preserve"> </v>
      </c>
      <c r="F42" s="885" t="str">
        <f>IFERROR(VLOOKUP($E$2&amp;$D42,#REF!,3,FALSE)," ")</f>
        <v xml:space="preserve"> </v>
      </c>
      <c r="G42" s="886"/>
      <c r="H42" s="43" t="str">
        <f>IFERROR(VLOOKUP($E$2&amp;$D42,#REF!,4,FALSE)," ")</f>
        <v xml:space="preserve"> </v>
      </c>
      <c r="I42" s="42" t="str">
        <f>IFERROR(VLOOKUP($E$2&amp;$D42,#REF!,5,FALSE)," ")</f>
        <v xml:space="preserve"> </v>
      </c>
      <c r="J42" s="35"/>
      <c r="K42" s="35"/>
      <c r="L42" s="35"/>
      <c r="M42" s="35"/>
      <c r="N42" s="35"/>
      <c r="O42" s="35"/>
      <c r="P42" s="38"/>
      <c r="Q42" s="35"/>
      <c r="R42" s="3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s="37" customFormat="1" ht="23.25" customHeight="1" outlineLevel="1">
      <c r="A43" s="35"/>
      <c r="B43" s="35"/>
      <c r="C43" s="35"/>
      <c r="D43" s="33">
        <v>9</v>
      </c>
      <c r="E43" s="33" t="str">
        <f>IFERROR(VLOOKUP($E$2&amp;$D43,#REF!,2,FALSE)," ")</f>
        <v xml:space="preserve"> </v>
      </c>
      <c r="F43" s="881" t="str">
        <f>IFERROR(VLOOKUP($E$2&amp;$D43,#REF!,3,FALSE)," ")</f>
        <v xml:space="preserve"> </v>
      </c>
      <c r="G43" s="882"/>
      <c r="H43" s="41" t="str">
        <f>IFERROR(VLOOKUP($E$2&amp;$D43,#REF!,4,FALSE)," ")</f>
        <v xml:space="preserve"> </v>
      </c>
      <c r="I43" s="33" t="str">
        <f>IFERROR(VLOOKUP($E$2&amp;$D43,#REF!,5,FALSE)," ")</f>
        <v xml:space="preserve"> </v>
      </c>
      <c r="J43" s="35"/>
      <c r="K43" s="35"/>
      <c r="L43" s="35"/>
      <c r="M43" s="35"/>
      <c r="N43" s="35"/>
      <c r="O43" s="35"/>
      <c r="P43" s="38"/>
      <c r="Q43" s="35"/>
      <c r="R43" s="36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2" s="37" customFormat="1" ht="23.25" customHeight="1" outlineLevel="1">
      <c r="A44" s="35"/>
      <c r="B44" s="35"/>
      <c r="C44" s="35"/>
      <c r="D44" s="42">
        <v>10</v>
      </c>
      <c r="E44" s="42" t="str">
        <f>IFERROR(VLOOKUP($E$2&amp;$D44,#REF!,2,FALSE)," ")</f>
        <v xml:space="preserve"> </v>
      </c>
      <c r="F44" s="885" t="str">
        <f>IFERROR(VLOOKUP($E$2&amp;$D44,#REF!,3,FALSE)," ")</f>
        <v xml:space="preserve"> </v>
      </c>
      <c r="G44" s="886"/>
      <c r="H44" s="43" t="str">
        <f>IFERROR(VLOOKUP($E$2&amp;$D44,#REF!,4,FALSE)," ")</f>
        <v xml:space="preserve"> </v>
      </c>
      <c r="I44" s="42" t="str">
        <f>IFERROR(VLOOKUP($E$2&amp;$D44,#REF!,5,FALSE)," ")</f>
        <v xml:space="preserve"> </v>
      </c>
      <c r="J44" s="35"/>
      <c r="K44" s="35"/>
      <c r="L44" s="35"/>
      <c r="M44" s="35"/>
      <c r="N44" s="35"/>
      <c r="O44" s="35"/>
      <c r="P44" s="38"/>
      <c r="Q44" s="35"/>
      <c r="R44" s="3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37" customFormat="1" ht="23.25" customHeight="1" outlineLevel="1">
      <c r="A45" s="35"/>
      <c r="B45" s="35"/>
      <c r="C45" s="35"/>
      <c r="D45" s="33">
        <v>11</v>
      </c>
      <c r="E45" s="33" t="str">
        <f>IFERROR(VLOOKUP($E$2&amp;$D45,#REF!,2,FALSE)," ")</f>
        <v xml:space="preserve"> </v>
      </c>
      <c r="F45" s="881" t="str">
        <f>IFERROR(VLOOKUP($E$2&amp;$D45,#REF!,3,FALSE)," ")</f>
        <v xml:space="preserve"> </v>
      </c>
      <c r="G45" s="882"/>
      <c r="H45" s="41" t="str">
        <f>IFERROR(VLOOKUP($E$2&amp;$D45,#REF!,4,FALSE)," ")</f>
        <v xml:space="preserve"> </v>
      </c>
      <c r="I45" s="33" t="str">
        <f>IFERROR(VLOOKUP($E$2&amp;$D45,#REF!,5,FALSE)," ")</f>
        <v xml:space="preserve"> </v>
      </c>
      <c r="J45" s="35"/>
      <c r="K45" s="35"/>
      <c r="L45" s="35"/>
      <c r="M45" s="35"/>
      <c r="N45" s="35"/>
      <c r="O45" s="35"/>
      <c r="P45" s="38"/>
      <c r="Q45" s="35"/>
      <c r="R45" s="3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spans="1:32" s="37" customFormat="1" ht="23.25" customHeight="1" outlineLevel="1">
      <c r="A46" s="35"/>
      <c r="B46" s="35"/>
      <c r="C46" s="35"/>
      <c r="D46" s="42">
        <v>12</v>
      </c>
      <c r="E46" s="42" t="str">
        <f>IFERROR(VLOOKUP($E$2&amp;$D46,#REF!,2,FALSE)," ")</f>
        <v xml:space="preserve"> </v>
      </c>
      <c r="F46" s="885" t="str">
        <f>IFERROR(VLOOKUP($E$2&amp;$D46,#REF!,3,FALSE)," ")</f>
        <v xml:space="preserve"> </v>
      </c>
      <c r="G46" s="886"/>
      <c r="H46" s="43" t="str">
        <f>IFERROR(VLOOKUP($E$2&amp;$D46,#REF!,4,FALSE)," ")</f>
        <v xml:space="preserve"> </v>
      </c>
      <c r="I46" s="42" t="str">
        <f>IFERROR(VLOOKUP($E$2&amp;$D46,#REF!,5,FALSE)," ")</f>
        <v xml:space="preserve"> </v>
      </c>
      <c r="J46" s="35"/>
      <c r="K46" s="35"/>
      <c r="L46" s="35"/>
      <c r="M46" s="35"/>
      <c r="N46" s="35"/>
      <c r="O46" s="35"/>
      <c r="P46" s="38"/>
      <c r="Q46" s="35"/>
      <c r="R46" s="3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2" s="37" customFormat="1" ht="23.25" customHeight="1" outlineLevel="1">
      <c r="A47" s="35"/>
      <c r="B47" s="35"/>
      <c r="C47" s="35"/>
      <c r="D47" s="33">
        <v>13</v>
      </c>
      <c r="E47" s="33" t="str">
        <f>IFERROR(VLOOKUP($E$2&amp;$D47,#REF!,2,FALSE)," ")</f>
        <v xml:space="preserve"> </v>
      </c>
      <c r="F47" s="881" t="str">
        <f>IFERROR(VLOOKUP($E$2&amp;$D47,#REF!,3,FALSE)," ")</f>
        <v xml:space="preserve"> </v>
      </c>
      <c r="G47" s="882"/>
      <c r="H47" s="41" t="str">
        <f>IFERROR(VLOOKUP($E$2&amp;$D47,#REF!,4,FALSE)," ")</f>
        <v xml:space="preserve"> </v>
      </c>
      <c r="I47" s="33" t="str">
        <f>IFERROR(VLOOKUP($E$2&amp;$D47,#REF!,5,FALSE)," ")</f>
        <v xml:space="preserve"> </v>
      </c>
      <c r="J47" s="35"/>
      <c r="K47" s="35"/>
      <c r="L47" s="35"/>
      <c r="M47" s="35"/>
      <c r="N47" s="35"/>
      <c r="O47" s="35"/>
      <c r="P47" s="38"/>
      <c r="Q47" s="35"/>
      <c r="R47" s="3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37" customFormat="1" ht="23.25" customHeight="1" outlineLevel="1">
      <c r="A48" s="35"/>
      <c r="B48" s="35"/>
      <c r="C48" s="35"/>
      <c r="D48" s="42">
        <v>14</v>
      </c>
      <c r="E48" s="42" t="str">
        <f>IFERROR(VLOOKUP($E$2&amp;$D48,#REF!,2,FALSE)," ")</f>
        <v xml:space="preserve"> </v>
      </c>
      <c r="F48" s="885" t="str">
        <f>IFERROR(VLOOKUP($E$2&amp;$D48,#REF!,3,FALSE)," ")</f>
        <v xml:space="preserve"> </v>
      </c>
      <c r="G48" s="886"/>
      <c r="H48" s="43" t="str">
        <f>IFERROR(VLOOKUP($E$2&amp;$D48,#REF!,4,FALSE)," ")</f>
        <v xml:space="preserve"> </v>
      </c>
      <c r="I48" s="42" t="str">
        <f>IFERROR(VLOOKUP($E$2&amp;$D48,#REF!,5,FALSE)," ")</f>
        <v xml:space="preserve"> </v>
      </c>
      <c r="J48" s="35"/>
      <c r="K48" s="35"/>
      <c r="L48" s="35"/>
      <c r="M48" s="35"/>
      <c r="N48" s="35"/>
      <c r="O48" s="35"/>
      <c r="P48" s="38"/>
      <c r="Q48" s="35"/>
      <c r="R48" s="3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</row>
    <row r="49" spans="1:32" s="37" customFormat="1" ht="23.25" customHeight="1" outlineLevel="1">
      <c r="A49" s="35"/>
      <c r="B49" s="35"/>
      <c r="C49" s="35"/>
      <c r="D49" s="33">
        <v>15</v>
      </c>
      <c r="E49" s="33" t="str">
        <f>IFERROR(VLOOKUP($E$2&amp;$D49,#REF!,2,FALSE)," ")</f>
        <v xml:space="preserve"> </v>
      </c>
      <c r="F49" s="881" t="str">
        <f>IFERROR(VLOOKUP($E$2&amp;$D49,#REF!,3,FALSE)," ")</f>
        <v xml:space="preserve"> </v>
      </c>
      <c r="G49" s="882"/>
      <c r="H49" s="41" t="str">
        <f>IFERROR(VLOOKUP($E$2&amp;$D49,#REF!,4,FALSE)," ")</f>
        <v xml:space="preserve"> </v>
      </c>
      <c r="I49" s="33" t="str">
        <f>IFERROR(VLOOKUP($E$2&amp;$D49,#REF!,5,FALSE)," ")</f>
        <v xml:space="preserve"> </v>
      </c>
      <c r="J49" s="35"/>
      <c r="K49" s="35"/>
      <c r="L49" s="35"/>
      <c r="M49" s="35"/>
      <c r="N49" s="35"/>
      <c r="O49" s="35"/>
      <c r="P49" s="38"/>
      <c r="Q49" s="35"/>
      <c r="R49" s="3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ht="15.75">
      <c r="A50" s="1"/>
      <c r="B50" s="15"/>
      <c r="C50" s="1"/>
      <c r="D50" s="1"/>
      <c r="E50" s="1" t="s">
        <v>32</v>
      </c>
      <c r="F50" s="1"/>
      <c r="G50" s="15"/>
      <c r="H50" s="53">
        <f>SUM(H35:H49)</f>
        <v>0</v>
      </c>
      <c r="I50" s="54" t="str">
        <f>I35</f>
        <v xml:space="preserve"> </v>
      </c>
      <c r="J50" s="15"/>
      <c r="K50" s="15"/>
      <c r="L50" s="15"/>
      <c r="M50" s="15"/>
      <c r="N50" s="1"/>
      <c r="O50" s="1"/>
      <c r="P50" s="20"/>
      <c r="Q50" s="1"/>
      <c r="R50" s="1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>
      <c r="A51" s="1"/>
      <c r="B51" s="15"/>
      <c r="C51" s="1"/>
      <c r="D51" s="1"/>
      <c r="E51" s="1"/>
      <c r="F51" s="1"/>
      <c r="G51" s="14"/>
      <c r="H51" s="14"/>
      <c r="I51" s="15"/>
      <c r="J51" s="15"/>
      <c r="K51" s="15"/>
      <c r="L51" s="15"/>
      <c r="M51" s="1"/>
      <c r="N51" s="1"/>
      <c r="O51" s="20"/>
      <c r="P51" s="1"/>
      <c r="Q51" s="14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2">
      <c r="A52" s="1"/>
      <c r="B52" s="15"/>
      <c r="C52" s="1"/>
      <c r="D52" s="1"/>
      <c r="E52" s="1"/>
      <c r="F52" s="1"/>
      <c r="G52" s="14"/>
      <c r="H52" s="14"/>
      <c r="I52" s="15"/>
      <c r="J52" s="15"/>
      <c r="K52" s="15"/>
      <c r="L52" s="15"/>
      <c r="M52" s="1"/>
      <c r="N52" s="1"/>
      <c r="O52" s="20"/>
      <c r="P52" s="1"/>
      <c r="Q52" s="14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2">
      <c r="A53" s="1"/>
      <c r="B53" s="15"/>
      <c r="C53" s="1"/>
      <c r="D53" s="1"/>
      <c r="E53" s="1"/>
      <c r="F53" s="1"/>
      <c r="G53" s="14"/>
      <c r="H53" s="14"/>
      <c r="I53" s="15"/>
      <c r="J53" s="15"/>
      <c r="K53" s="15"/>
      <c r="L53" s="15"/>
      <c r="M53" s="1"/>
      <c r="N53" s="1"/>
      <c r="O53" s="20"/>
      <c r="P53" s="1"/>
      <c r="Q53" s="14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2">
      <c r="A54" s="1"/>
      <c r="B54" s="15"/>
      <c r="C54" s="1"/>
      <c r="D54" s="1"/>
      <c r="E54" s="1"/>
      <c r="F54" s="1"/>
      <c r="G54" s="14"/>
      <c r="H54" s="14"/>
      <c r="I54" s="15"/>
      <c r="J54" s="15"/>
      <c r="K54" s="15"/>
      <c r="L54" s="15"/>
      <c r="M54" s="1"/>
      <c r="N54" s="1"/>
      <c r="O54" s="20"/>
      <c r="P54" s="1"/>
      <c r="Q54" s="14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2">
      <c r="A55" s="1"/>
      <c r="B55" s="15"/>
      <c r="C55" s="1"/>
      <c r="D55" s="1"/>
      <c r="E55" s="1"/>
      <c r="F55" s="1"/>
      <c r="G55" s="14"/>
      <c r="H55" s="14"/>
      <c r="I55" s="15"/>
      <c r="J55" s="15"/>
      <c r="K55" s="15"/>
      <c r="L55" s="15"/>
      <c r="M55" s="1"/>
      <c r="N55" s="1"/>
      <c r="O55" s="20"/>
      <c r="P55" s="1"/>
      <c r="Q55" s="14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2">
      <c r="A56" s="1"/>
      <c r="B56" s="15"/>
      <c r="C56" s="1"/>
      <c r="D56" s="1"/>
      <c r="E56" s="1"/>
      <c r="F56" s="1"/>
      <c r="G56" s="14"/>
      <c r="H56" s="14"/>
      <c r="I56" s="15"/>
      <c r="J56" s="15"/>
      <c r="K56" s="15"/>
      <c r="L56" s="15"/>
      <c r="M56" s="1"/>
      <c r="N56" s="1"/>
      <c r="O56" s="20"/>
      <c r="P56" s="1"/>
      <c r="Q56" s="1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2">
      <c r="A57" s="1"/>
      <c r="B57" s="15"/>
      <c r="C57" s="1"/>
      <c r="D57" s="1"/>
      <c r="E57" s="1"/>
      <c r="F57" s="1"/>
      <c r="G57" s="14"/>
      <c r="H57" s="14"/>
      <c r="I57" s="15"/>
      <c r="J57" s="15"/>
      <c r="K57" s="15"/>
      <c r="L57" s="15"/>
      <c r="M57" s="1"/>
      <c r="N57" s="1"/>
      <c r="O57" s="20"/>
      <c r="P57" s="1"/>
      <c r="Q57" s="1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2">
      <c r="A58" s="1"/>
      <c r="B58" s="15"/>
      <c r="C58" s="1"/>
      <c r="D58" s="1"/>
      <c r="E58" s="1"/>
      <c r="F58" s="1"/>
      <c r="G58" s="14"/>
      <c r="H58" s="14"/>
      <c r="I58" s="15"/>
      <c r="J58" s="15"/>
      <c r="K58" s="15"/>
      <c r="L58" s="15"/>
      <c r="M58" s="1"/>
      <c r="N58" s="1"/>
      <c r="O58" s="20"/>
      <c r="P58" s="1"/>
      <c r="Q58" s="1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2">
      <c r="A59" s="1"/>
      <c r="B59" s="15"/>
      <c r="C59" s="1"/>
      <c r="D59" s="1"/>
      <c r="E59" s="1"/>
      <c r="F59" s="1"/>
      <c r="G59" s="14"/>
      <c r="H59" s="14"/>
      <c r="I59" s="14"/>
      <c r="J59" s="1"/>
      <c r="K59" s="1"/>
      <c r="L59" s="1"/>
      <c r="M59" s="1"/>
      <c r="N59" s="1"/>
      <c r="O59" s="20"/>
      <c r="P59" s="1"/>
      <c r="Q59" s="1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2">
      <c r="A60" s="1"/>
      <c r="B60" s="15"/>
      <c r="C60" s="1"/>
      <c r="D60" s="1"/>
      <c r="E60" s="1"/>
      <c r="F60" s="1"/>
      <c r="G60" s="14"/>
      <c r="H60" s="14"/>
      <c r="I60" s="14"/>
      <c r="J60" s="1"/>
      <c r="K60" s="1"/>
      <c r="L60" s="1"/>
      <c r="M60" s="1"/>
      <c r="N60" s="1"/>
      <c r="O60" s="20"/>
      <c r="P60" s="1"/>
      <c r="Q60" s="1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2">
      <c r="A61" s="1"/>
      <c r="B61" s="15"/>
      <c r="C61" s="1"/>
      <c r="D61" s="1"/>
      <c r="E61" s="1"/>
      <c r="F61" s="1"/>
      <c r="G61" s="14"/>
      <c r="H61" s="14"/>
      <c r="I61" s="14"/>
      <c r="J61" s="1"/>
      <c r="K61" s="1"/>
      <c r="L61" s="1"/>
      <c r="M61" s="1"/>
      <c r="N61" s="1"/>
      <c r="O61" s="20"/>
      <c r="P61" s="1"/>
      <c r="Q61" s="14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2">
      <c r="A62" s="1"/>
      <c r="B62" s="15"/>
      <c r="C62" s="1"/>
      <c r="D62" s="1"/>
      <c r="E62" s="1"/>
      <c r="F62" s="1"/>
      <c r="G62" s="14"/>
      <c r="H62" s="14"/>
      <c r="I62" s="14"/>
      <c r="J62" s="1"/>
      <c r="K62" s="1"/>
      <c r="L62" s="1"/>
      <c r="M62" s="1"/>
      <c r="N62" s="1"/>
      <c r="O62" s="20"/>
      <c r="P62" s="1"/>
      <c r="Q62" s="14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2">
      <c r="A63" s="1"/>
      <c r="B63" s="15"/>
      <c r="C63" s="1"/>
      <c r="D63" s="1"/>
      <c r="E63" s="1"/>
      <c r="F63" s="1"/>
      <c r="G63" s="14"/>
      <c r="H63" s="14"/>
      <c r="I63" s="14"/>
      <c r="J63" s="1"/>
      <c r="K63" s="1"/>
      <c r="L63" s="1"/>
      <c r="M63" s="1"/>
      <c r="N63" s="1"/>
      <c r="O63" s="20"/>
      <c r="P63" s="1"/>
      <c r="Q63" s="14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2">
      <c r="A64" s="1"/>
      <c r="B64" s="15"/>
      <c r="C64" s="1"/>
      <c r="D64" s="1"/>
      <c r="E64" s="1"/>
      <c r="F64" s="1"/>
      <c r="G64" s="14"/>
      <c r="H64" s="14"/>
      <c r="I64" s="14"/>
      <c r="J64" s="1"/>
      <c r="K64" s="1"/>
      <c r="L64" s="1"/>
      <c r="M64" s="1"/>
      <c r="N64" s="1"/>
      <c r="O64" s="20"/>
      <c r="P64" s="1"/>
      <c r="Q64" s="14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>
      <c r="A65" s="1"/>
      <c r="B65" s="15"/>
      <c r="C65" s="1"/>
      <c r="D65" s="1"/>
      <c r="E65" s="1"/>
      <c r="F65" s="1"/>
      <c r="G65" s="14"/>
      <c r="H65" s="14"/>
      <c r="I65" s="14"/>
      <c r="J65" s="1"/>
      <c r="K65" s="1"/>
      <c r="L65" s="1"/>
      <c r="M65" s="1"/>
      <c r="N65" s="1"/>
      <c r="O65" s="20"/>
      <c r="P65" s="1"/>
      <c r="Q65" s="14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>
      <c r="A66" s="1"/>
      <c r="B66" s="15"/>
      <c r="C66" s="1"/>
      <c r="D66" s="1"/>
      <c r="E66" s="1"/>
      <c r="F66" s="1"/>
      <c r="G66" s="14"/>
      <c r="H66" s="14"/>
      <c r="I66" s="14"/>
      <c r="J66" s="1"/>
      <c r="K66" s="1"/>
      <c r="L66" s="1"/>
      <c r="M66" s="1"/>
      <c r="N66" s="1"/>
      <c r="O66" s="20"/>
      <c r="P66" s="1"/>
      <c r="Q66" s="14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>
      <c r="A67" s="1"/>
      <c r="B67" s="15"/>
      <c r="C67" s="1"/>
      <c r="D67" s="1"/>
      <c r="E67" s="1"/>
      <c r="F67" s="1"/>
      <c r="G67" s="14"/>
      <c r="H67" s="14"/>
      <c r="I67" s="14"/>
      <c r="J67" s="1"/>
      <c r="K67" s="1"/>
      <c r="L67" s="1"/>
      <c r="M67" s="1"/>
      <c r="N67" s="1"/>
      <c r="O67" s="20"/>
      <c r="P67" s="1"/>
      <c r="Q67" s="14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>
      <c r="A68" s="1"/>
      <c r="B68" s="15"/>
      <c r="C68" s="1"/>
      <c r="D68" s="1"/>
      <c r="E68" s="1"/>
      <c r="F68" s="1"/>
      <c r="G68" s="14"/>
      <c r="H68" s="14"/>
      <c r="I68" s="14"/>
      <c r="J68" s="1"/>
      <c r="K68" s="1"/>
      <c r="L68" s="1"/>
      <c r="M68" s="1"/>
      <c r="N68" s="1"/>
      <c r="O68" s="20"/>
      <c r="P68" s="1"/>
      <c r="Q68" s="14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>
      <c r="A69" s="1"/>
      <c r="B69" s="15"/>
      <c r="C69" s="1"/>
      <c r="D69" s="1"/>
      <c r="E69" s="1"/>
      <c r="F69" s="1"/>
      <c r="G69" s="14"/>
      <c r="H69" s="14"/>
      <c r="I69" s="14"/>
      <c r="J69" s="1"/>
      <c r="K69" s="1"/>
      <c r="L69" s="1"/>
      <c r="M69" s="1"/>
      <c r="N69" s="1"/>
      <c r="O69" s="20"/>
      <c r="P69" s="1"/>
      <c r="Q69" s="14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>
      <c r="A70" s="1"/>
      <c r="B70" s="15"/>
      <c r="C70" s="1"/>
      <c r="D70" s="1"/>
      <c r="E70" s="1"/>
      <c r="F70" s="1"/>
      <c r="G70" s="14"/>
      <c r="H70" s="14"/>
      <c r="I70" s="14"/>
      <c r="J70" s="1"/>
      <c r="K70" s="1"/>
      <c r="L70" s="1"/>
      <c r="M70" s="1"/>
      <c r="N70" s="1"/>
      <c r="O70" s="20"/>
      <c r="P70" s="1"/>
      <c r="Q70" s="14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>
      <c r="A71" s="1"/>
      <c r="B71" s="15"/>
      <c r="C71" s="1"/>
      <c r="D71" s="1"/>
      <c r="E71" s="1"/>
      <c r="F71" s="1"/>
      <c r="G71" s="14"/>
      <c r="H71" s="14"/>
      <c r="I71" s="14"/>
      <c r="J71" s="1"/>
      <c r="K71" s="1"/>
      <c r="L71" s="1"/>
      <c r="M71" s="1"/>
      <c r="N71" s="1"/>
      <c r="O71" s="20"/>
      <c r="P71" s="1"/>
      <c r="Q71" s="14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>
      <c r="A72" s="1"/>
      <c r="B72" s="15"/>
      <c r="C72" s="1"/>
      <c r="D72" s="1"/>
      <c r="E72" s="1"/>
      <c r="F72" s="1"/>
      <c r="G72" s="14"/>
      <c r="H72" s="14"/>
      <c r="I72" s="14"/>
      <c r="J72" s="1"/>
      <c r="K72" s="1"/>
      <c r="L72" s="1"/>
      <c r="M72" s="1"/>
      <c r="N72" s="1"/>
      <c r="O72" s="20"/>
      <c r="P72" s="1"/>
      <c r="Q72" s="14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>
      <c r="A73" s="1"/>
      <c r="B73" s="15"/>
      <c r="C73" s="1"/>
      <c r="D73" s="1"/>
      <c r="E73" s="1"/>
      <c r="F73" s="1"/>
      <c r="G73" s="14"/>
      <c r="H73" s="14"/>
      <c r="I73" s="14"/>
      <c r="J73" s="1"/>
      <c r="K73" s="1"/>
      <c r="L73" s="1"/>
      <c r="M73" s="1"/>
      <c r="N73" s="1"/>
      <c r="O73" s="20"/>
      <c r="P73" s="1"/>
      <c r="Q73" s="14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>
      <c r="A74" s="1"/>
      <c r="B74" s="15"/>
      <c r="C74" s="1"/>
      <c r="D74" s="1"/>
      <c r="E74" s="1"/>
      <c r="F74" s="1"/>
      <c r="G74" s="14"/>
      <c r="H74" s="14"/>
      <c r="I74" s="14"/>
      <c r="J74" s="1"/>
      <c r="K74" s="1"/>
      <c r="L74" s="1"/>
      <c r="M74" s="1"/>
      <c r="N74" s="1"/>
      <c r="O74" s="20"/>
      <c r="P74" s="1"/>
      <c r="Q74" s="14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>
      <c r="A75" s="1"/>
      <c r="B75" s="15"/>
      <c r="C75" s="1"/>
      <c r="D75" s="1"/>
      <c r="E75" s="1"/>
      <c r="F75" s="1"/>
      <c r="G75" s="14"/>
      <c r="H75" s="14"/>
      <c r="I75" s="14"/>
      <c r="J75" s="1"/>
      <c r="K75" s="1"/>
      <c r="L75" s="1"/>
      <c r="M75" s="1"/>
      <c r="N75" s="1"/>
      <c r="O75" s="20"/>
      <c r="P75" s="1"/>
      <c r="Q75" s="14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>
      <c r="A76" s="1"/>
      <c r="B76" s="15"/>
      <c r="C76" s="1"/>
      <c r="D76" s="1"/>
      <c r="E76" s="1"/>
      <c r="F76" s="1"/>
      <c r="G76" s="14"/>
      <c r="H76" s="14"/>
      <c r="I76" s="14"/>
      <c r="J76" s="1"/>
      <c r="K76" s="1"/>
      <c r="L76" s="1"/>
      <c r="M76" s="1"/>
      <c r="N76" s="1"/>
      <c r="O76" s="20"/>
      <c r="P76" s="1"/>
      <c r="Q76" s="14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>
      <c r="A77" s="1"/>
      <c r="B77" s="15"/>
      <c r="C77" s="1"/>
      <c r="D77" s="1"/>
      <c r="E77" s="1"/>
      <c r="F77" s="1"/>
      <c r="G77" s="14"/>
      <c r="H77" s="14"/>
      <c r="I77" s="14"/>
      <c r="J77" s="1"/>
      <c r="K77" s="1"/>
      <c r="L77" s="1"/>
      <c r="M77" s="1"/>
      <c r="N77" s="1"/>
      <c r="O77" s="20"/>
      <c r="P77" s="1"/>
      <c r="Q77" s="14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>
      <c r="A78" s="1"/>
      <c r="B78" s="15"/>
      <c r="C78" s="1"/>
      <c r="D78" s="1"/>
      <c r="E78" s="1"/>
      <c r="F78" s="1"/>
      <c r="G78" s="14"/>
      <c r="H78" s="14"/>
      <c r="I78" s="14"/>
      <c r="J78" s="1"/>
      <c r="K78" s="1"/>
      <c r="L78" s="1"/>
      <c r="M78" s="1"/>
      <c r="N78" s="1"/>
      <c r="O78" s="20"/>
      <c r="P78" s="1"/>
      <c r="Q78" s="14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>
      <c r="A79" s="1"/>
      <c r="B79" s="15"/>
      <c r="C79" s="1"/>
      <c r="D79" s="1"/>
      <c r="E79" s="1"/>
      <c r="F79" s="1"/>
      <c r="G79" s="14"/>
      <c r="H79" s="14"/>
      <c r="I79" s="14"/>
      <c r="J79" s="1"/>
      <c r="K79" s="1"/>
      <c r="L79" s="1"/>
      <c r="M79" s="1"/>
      <c r="N79" s="1"/>
      <c r="O79" s="20"/>
      <c r="P79" s="1"/>
      <c r="Q79" s="14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>
      <c r="A80" s="1"/>
      <c r="B80" s="15"/>
      <c r="C80" s="1"/>
      <c r="D80" s="1"/>
      <c r="E80" s="1"/>
      <c r="F80" s="1"/>
      <c r="G80" s="14"/>
      <c r="H80" s="14"/>
      <c r="I80" s="14"/>
      <c r="J80" s="1"/>
      <c r="K80" s="1"/>
      <c r="L80" s="1"/>
      <c r="M80" s="1"/>
      <c r="N80" s="1"/>
      <c r="O80" s="20"/>
      <c r="P80" s="1"/>
      <c r="Q80" s="14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>
      <c r="A81" s="1"/>
      <c r="B81" s="15"/>
      <c r="C81" s="1"/>
      <c r="D81" s="1"/>
      <c r="E81" s="1"/>
      <c r="F81" s="1"/>
      <c r="G81" s="14"/>
      <c r="H81" s="14"/>
      <c r="I81" s="14"/>
      <c r="J81" s="1"/>
      <c r="K81" s="1"/>
      <c r="L81" s="1"/>
      <c r="M81" s="1"/>
      <c r="N81" s="1"/>
      <c r="O81" s="20"/>
      <c r="P81" s="1"/>
      <c r="Q81" s="14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>
      <c r="A82" s="1"/>
      <c r="B82" s="15"/>
      <c r="C82" s="1"/>
      <c r="D82" s="1"/>
      <c r="E82" s="1"/>
      <c r="F82" s="1"/>
      <c r="G82" s="14"/>
      <c r="H82" s="14"/>
      <c r="I82" s="14"/>
      <c r="J82" s="1"/>
      <c r="K82" s="1"/>
      <c r="L82" s="1"/>
      <c r="M82" s="1"/>
      <c r="N82" s="1"/>
      <c r="O82" s="20"/>
      <c r="P82" s="1"/>
      <c r="Q82" s="14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>
      <c r="A83" s="1"/>
      <c r="B83" s="15"/>
      <c r="C83" s="1"/>
      <c r="D83" s="1"/>
      <c r="E83" s="1"/>
      <c r="F83" s="1"/>
      <c r="G83" s="14"/>
      <c r="H83" s="14"/>
      <c r="I83" s="14"/>
      <c r="J83" s="1"/>
      <c r="K83" s="1"/>
      <c r="L83" s="1"/>
      <c r="M83" s="1"/>
      <c r="N83" s="1"/>
      <c r="O83" s="20"/>
      <c r="P83" s="1"/>
      <c r="Q83" s="14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>
      <c r="A84" s="1"/>
      <c r="B84" s="15"/>
      <c r="C84" s="1"/>
      <c r="D84" s="1"/>
      <c r="E84" s="1"/>
      <c r="F84" s="1"/>
      <c r="G84" s="14"/>
      <c r="H84" s="14"/>
      <c r="I84" s="14"/>
      <c r="J84" s="1"/>
      <c r="K84" s="1"/>
      <c r="L84" s="1"/>
      <c r="M84" s="1"/>
      <c r="N84" s="1"/>
      <c r="O84" s="20"/>
      <c r="P84" s="1"/>
      <c r="Q84" s="14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>
      <c r="A85" s="1"/>
      <c r="B85" s="15"/>
      <c r="C85" s="1"/>
      <c r="D85" s="1"/>
      <c r="E85" s="1"/>
      <c r="F85" s="1"/>
      <c r="G85" s="14"/>
      <c r="H85" s="14"/>
      <c r="I85" s="14"/>
      <c r="J85" s="1"/>
      <c r="K85" s="1"/>
      <c r="L85" s="1"/>
      <c r="M85" s="1"/>
      <c r="N85" s="1"/>
      <c r="O85" s="20"/>
      <c r="P85" s="1"/>
      <c r="Q85" s="14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>
      <c r="A86" s="1"/>
      <c r="B86" s="15"/>
      <c r="C86" s="1"/>
      <c r="D86" s="1"/>
      <c r="E86" s="1"/>
      <c r="F86" s="1"/>
      <c r="G86" s="14"/>
      <c r="H86" s="14"/>
      <c r="I86" s="14"/>
      <c r="J86" s="1"/>
      <c r="K86" s="1"/>
      <c r="L86" s="1"/>
      <c r="M86" s="1"/>
      <c r="N86" s="1"/>
      <c r="O86" s="20"/>
      <c r="P86" s="1"/>
      <c r="Q86" s="14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>
      <c r="A87" s="1"/>
      <c r="B87" s="15"/>
      <c r="C87" s="1"/>
      <c r="D87" s="1"/>
      <c r="E87" s="1"/>
      <c r="F87" s="1"/>
      <c r="G87" s="14"/>
      <c r="H87" s="14"/>
      <c r="I87" s="14"/>
      <c r="J87" s="1"/>
      <c r="K87" s="1"/>
      <c r="L87" s="1"/>
      <c r="M87" s="1"/>
      <c r="N87" s="1"/>
      <c r="O87" s="20"/>
      <c r="P87" s="1"/>
      <c r="Q87" s="14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>
      <c r="A88" s="1"/>
      <c r="B88" s="15"/>
      <c r="C88" s="1"/>
      <c r="D88" s="1"/>
      <c r="E88" s="1"/>
      <c r="F88" s="1"/>
      <c r="G88" s="14"/>
      <c r="H88" s="14"/>
      <c r="I88" s="14"/>
      <c r="J88" s="1"/>
      <c r="K88" s="1"/>
      <c r="L88" s="1"/>
      <c r="M88" s="1"/>
      <c r="N88" s="1"/>
      <c r="O88" s="20"/>
      <c r="P88" s="1"/>
      <c r="Q88" s="14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>
      <c r="A89" s="1"/>
      <c r="B89" s="15"/>
      <c r="C89" s="1"/>
      <c r="D89" s="1"/>
      <c r="E89" s="1"/>
      <c r="F89" s="1"/>
      <c r="G89" s="14"/>
      <c r="H89" s="14"/>
      <c r="I89" s="14"/>
      <c r="J89" s="1"/>
      <c r="K89" s="1"/>
      <c r="L89" s="1"/>
      <c r="M89" s="1"/>
      <c r="N89" s="1"/>
      <c r="O89" s="20"/>
      <c r="P89" s="1"/>
      <c r="Q89" s="14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>
      <c r="A90" s="1"/>
      <c r="B90" s="15"/>
      <c r="C90" s="1"/>
      <c r="D90" s="1"/>
      <c r="E90" s="1"/>
      <c r="F90" s="1"/>
      <c r="G90" s="14"/>
      <c r="H90" s="14"/>
      <c r="I90" s="14"/>
      <c r="J90" s="1"/>
      <c r="K90" s="1"/>
      <c r="L90" s="1"/>
      <c r="M90" s="1"/>
      <c r="N90" s="1"/>
      <c r="O90" s="20"/>
      <c r="P90" s="1"/>
      <c r="Q90" s="14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>
      <c r="A91" s="1"/>
      <c r="B91" s="15"/>
      <c r="C91" s="1"/>
      <c r="D91" s="1"/>
      <c r="E91" s="1"/>
      <c r="F91" s="1"/>
      <c r="G91" s="14"/>
      <c r="H91" s="14"/>
      <c r="I91" s="14"/>
      <c r="J91" s="1"/>
      <c r="K91" s="1"/>
      <c r="L91" s="1"/>
      <c r="M91" s="1"/>
      <c r="N91" s="1"/>
      <c r="O91" s="20"/>
      <c r="P91" s="1"/>
      <c r="Q91" s="14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>
      <c r="A92" s="1"/>
      <c r="B92" s="15"/>
      <c r="C92" s="1"/>
      <c r="D92" s="1"/>
      <c r="E92" s="1"/>
      <c r="F92" s="1"/>
      <c r="G92" s="14"/>
      <c r="H92" s="14"/>
      <c r="I92" s="14"/>
      <c r="J92" s="1"/>
      <c r="K92" s="1"/>
      <c r="L92" s="1"/>
      <c r="M92" s="1"/>
      <c r="N92" s="1"/>
      <c r="O92" s="20"/>
      <c r="P92" s="1"/>
      <c r="Q92" s="14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>
      <c r="A93" s="1"/>
      <c r="B93" s="15"/>
      <c r="C93" s="1"/>
      <c r="D93" s="1"/>
      <c r="E93" s="1"/>
      <c r="F93" s="1"/>
      <c r="G93" s="14"/>
      <c r="H93" s="14"/>
      <c r="I93" s="14"/>
      <c r="J93" s="1"/>
      <c r="K93" s="1"/>
      <c r="L93" s="1"/>
      <c r="M93" s="1"/>
      <c r="N93" s="1"/>
      <c r="O93" s="20"/>
      <c r="P93" s="1"/>
      <c r="Q93" s="14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>
      <c r="A94" s="1"/>
      <c r="B94" s="15"/>
      <c r="C94" s="1"/>
      <c r="D94" s="1"/>
      <c r="E94" s="1"/>
      <c r="F94" s="1"/>
      <c r="G94" s="14"/>
      <c r="H94" s="14"/>
      <c r="I94" s="14"/>
      <c r="J94" s="1"/>
      <c r="K94" s="1"/>
      <c r="L94" s="1"/>
      <c r="M94" s="1"/>
      <c r="N94" s="1"/>
      <c r="O94" s="20"/>
      <c r="P94" s="1"/>
      <c r="Q94" s="14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>
      <c r="A95" s="1"/>
      <c r="B95" s="15"/>
      <c r="C95" s="1"/>
      <c r="D95" s="1"/>
      <c r="E95" s="1"/>
      <c r="F95" s="1"/>
      <c r="G95" s="14"/>
      <c r="H95" s="14"/>
      <c r="I95" s="14"/>
      <c r="J95" s="1"/>
      <c r="K95" s="1"/>
      <c r="L95" s="1"/>
      <c r="M95" s="1"/>
      <c r="N95" s="1"/>
      <c r="O95" s="20"/>
      <c r="P95" s="1"/>
      <c r="Q95" s="1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>
      <c r="A96" s="1"/>
      <c r="B96" s="15"/>
      <c r="C96" s="1"/>
      <c r="D96" s="1"/>
      <c r="E96" s="1"/>
      <c r="F96" s="1"/>
      <c r="G96" s="14"/>
      <c r="H96" s="14"/>
      <c r="I96" s="14"/>
      <c r="J96" s="1"/>
      <c r="K96" s="1"/>
      <c r="L96" s="1"/>
      <c r="M96" s="1"/>
      <c r="N96" s="1"/>
      <c r="O96" s="20"/>
      <c r="P96" s="1"/>
      <c r="Q96" s="14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>
      <c r="A97" s="1"/>
      <c r="B97" s="15"/>
      <c r="C97" s="1"/>
      <c r="D97" s="1"/>
      <c r="E97" s="1"/>
      <c r="F97" s="1"/>
      <c r="G97" s="14"/>
      <c r="H97" s="14"/>
      <c r="I97" s="14"/>
      <c r="J97" s="1"/>
      <c r="K97" s="1"/>
      <c r="L97" s="1"/>
      <c r="M97" s="1"/>
      <c r="N97" s="1"/>
      <c r="O97" s="20"/>
      <c r="P97" s="1"/>
      <c r="Q97" s="1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>
      <c r="A98" s="1"/>
      <c r="B98" s="15"/>
      <c r="C98" s="1"/>
      <c r="D98" s="1"/>
      <c r="E98" s="1"/>
      <c r="F98" s="1"/>
      <c r="G98" s="14"/>
      <c r="H98" s="14"/>
      <c r="I98" s="14"/>
      <c r="J98" s="1"/>
      <c r="K98" s="1"/>
      <c r="L98" s="1"/>
      <c r="M98" s="1"/>
      <c r="N98" s="1"/>
      <c r="O98" s="20"/>
      <c r="P98" s="1"/>
      <c r="Q98" s="1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>
      <c r="A99" s="1"/>
      <c r="B99" s="15"/>
      <c r="C99" s="1"/>
      <c r="D99" s="1"/>
      <c r="E99" s="1"/>
      <c r="F99" s="1"/>
      <c r="G99" s="14"/>
      <c r="H99" s="14"/>
      <c r="I99" s="14"/>
      <c r="J99" s="1"/>
      <c r="K99" s="1"/>
      <c r="L99" s="1"/>
      <c r="M99" s="1"/>
      <c r="N99" s="1"/>
      <c r="O99" s="20"/>
      <c r="P99" s="1"/>
      <c r="Q99" s="1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>
      <c r="A100" s="1"/>
      <c r="B100" s="15"/>
      <c r="C100" s="1"/>
      <c r="D100" s="1"/>
      <c r="E100" s="1"/>
      <c r="F100" s="1"/>
      <c r="G100" s="14"/>
      <c r="H100" s="14"/>
      <c r="I100" s="14"/>
      <c r="J100" s="1"/>
      <c r="K100" s="1"/>
      <c r="L100" s="1"/>
      <c r="M100" s="1"/>
      <c r="N100" s="1"/>
      <c r="O100" s="20"/>
      <c r="P100" s="1"/>
      <c r="Q100" s="1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>
      <c r="A101" s="1"/>
      <c r="B101" s="15"/>
      <c r="C101" s="1"/>
      <c r="D101" s="1"/>
      <c r="E101" s="1"/>
      <c r="F101" s="1"/>
      <c r="G101" s="14"/>
      <c r="H101" s="14"/>
      <c r="I101" s="14"/>
      <c r="J101" s="1"/>
      <c r="K101" s="1"/>
      <c r="L101" s="1"/>
      <c r="M101" s="1"/>
      <c r="N101" s="1"/>
      <c r="O101" s="20"/>
      <c r="P101" s="1"/>
      <c r="Q101" s="14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>
      <c r="A102" s="1"/>
      <c r="B102" s="15"/>
      <c r="C102" s="1"/>
      <c r="D102" s="1"/>
      <c r="E102" s="1"/>
      <c r="F102" s="1"/>
      <c r="G102" s="14"/>
      <c r="H102" s="14"/>
      <c r="I102" s="14"/>
      <c r="J102" s="1"/>
      <c r="K102" s="1"/>
      <c r="L102" s="1"/>
      <c r="M102" s="1"/>
      <c r="N102" s="1"/>
      <c r="O102" s="20"/>
      <c r="P102" s="1"/>
      <c r="Q102" s="14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>
      <c r="A103" s="1"/>
      <c r="B103" s="15"/>
      <c r="C103" s="1"/>
      <c r="D103" s="1"/>
      <c r="E103" s="1"/>
      <c r="F103" s="1"/>
      <c r="G103" s="14"/>
      <c r="H103" s="14"/>
      <c r="I103" s="14"/>
      <c r="J103" s="1"/>
      <c r="K103" s="1"/>
      <c r="L103" s="1"/>
      <c r="M103" s="1"/>
      <c r="N103" s="1"/>
      <c r="O103" s="20"/>
      <c r="P103" s="1"/>
      <c r="Q103" s="14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>
      <c r="A104" s="1"/>
      <c r="B104" s="15"/>
      <c r="C104" s="1"/>
      <c r="D104" s="1"/>
      <c r="E104" s="1"/>
      <c r="F104" s="1"/>
      <c r="G104" s="14"/>
      <c r="H104" s="14"/>
      <c r="I104" s="14"/>
      <c r="J104" s="1"/>
      <c r="K104" s="1"/>
      <c r="L104" s="1"/>
      <c r="M104" s="1"/>
      <c r="N104" s="1"/>
      <c r="O104" s="20"/>
      <c r="P104" s="1"/>
      <c r="Q104" s="1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>
      <c r="A105" s="1"/>
      <c r="B105" s="15"/>
      <c r="C105" s="1"/>
      <c r="D105" s="1"/>
      <c r="E105" s="1"/>
      <c r="F105" s="1"/>
      <c r="G105" s="14"/>
      <c r="H105" s="14"/>
      <c r="I105" s="14"/>
      <c r="J105" s="1"/>
      <c r="K105" s="1"/>
      <c r="L105" s="1"/>
      <c r="M105" s="1"/>
      <c r="N105" s="1"/>
      <c r="O105" s="20"/>
      <c r="P105" s="1"/>
      <c r="Q105" s="14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>
      <c r="A106" s="1"/>
      <c r="B106" s="15"/>
      <c r="C106" s="1"/>
      <c r="D106" s="1"/>
      <c r="E106" s="1"/>
      <c r="F106" s="1"/>
      <c r="G106" s="14"/>
      <c r="H106" s="14"/>
      <c r="I106" s="14"/>
      <c r="J106" s="1"/>
      <c r="K106" s="1"/>
      <c r="L106" s="1"/>
      <c r="M106" s="1"/>
      <c r="N106" s="1"/>
      <c r="O106" s="20"/>
      <c r="P106" s="1"/>
      <c r="Q106" s="14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>
      <c r="A107" s="1"/>
      <c r="B107" s="15"/>
      <c r="C107" s="1"/>
      <c r="D107" s="1"/>
      <c r="E107" s="1"/>
      <c r="F107" s="1"/>
      <c r="G107" s="14"/>
      <c r="H107" s="14"/>
      <c r="I107" s="14"/>
      <c r="J107" s="1"/>
      <c r="K107" s="1"/>
      <c r="L107" s="1"/>
      <c r="M107" s="1"/>
      <c r="N107" s="1"/>
      <c r="O107" s="20"/>
      <c r="P107" s="1"/>
      <c r="Q107" s="1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>
      <c r="A108" s="1"/>
      <c r="B108" s="15"/>
      <c r="C108" s="1"/>
      <c r="D108" s="1"/>
      <c r="E108" s="1"/>
      <c r="F108" s="1"/>
      <c r="G108" s="14"/>
      <c r="H108" s="14"/>
      <c r="I108" s="14"/>
      <c r="J108" s="1"/>
      <c r="K108" s="1"/>
      <c r="L108" s="1"/>
      <c r="M108" s="1"/>
      <c r="N108" s="1"/>
      <c r="O108" s="20"/>
      <c r="P108" s="1"/>
      <c r="Q108" s="1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>
      <c r="A109" s="1"/>
      <c r="B109" s="15"/>
      <c r="C109" s="1"/>
      <c r="D109" s="1"/>
      <c r="E109" s="1"/>
      <c r="F109" s="1"/>
      <c r="G109" s="14"/>
      <c r="H109" s="14"/>
      <c r="I109" s="14"/>
      <c r="J109" s="1"/>
      <c r="K109" s="1"/>
      <c r="L109" s="1"/>
      <c r="M109" s="1"/>
      <c r="N109" s="1"/>
      <c r="O109" s="20"/>
      <c r="P109" s="1"/>
      <c r="Q109" s="1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>
      <c r="A110" s="1"/>
      <c r="B110" s="15"/>
      <c r="C110" s="1"/>
      <c r="D110" s="1"/>
      <c r="E110" s="1"/>
      <c r="F110" s="1"/>
      <c r="G110" s="14"/>
      <c r="H110" s="14"/>
      <c r="I110" s="14"/>
      <c r="J110" s="1"/>
      <c r="K110" s="1"/>
      <c r="L110" s="1"/>
      <c r="M110" s="1"/>
      <c r="N110" s="1"/>
      <c r="O110" s="20"/>
      <c r="P110" s="1"/>
      <c r="Q110" s="1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>
      <c r="A111" s="1"/>
      <c r="B111" s="15"/>
      <c r="C111" s="1"/>
      <c r="D111" s="1"/>
      <c r="E111" s="1"/>
      <c r="F111" s="1"/>
      <c r="G111" s="14"/>
      <c r="H111" s="14"/>
      <c r="I111" s="14"/>
      <c r="J111" s="1"/>
      <c r="K111" s="1"/>
      <c r="L111" s="1"/>
      <c r="M111" s="1"/>
      <c r="N111" s="1"/>
      <c r="O111" s="20"/>
      <c r="P111" s="1"/>
      <c r="Q111" s="14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>
      <c r="A112" s="1"/>
      <c r="B112" s="15"/>
      <c r="C112" s="1"/>
      <c r="D112" s="1"/>
      <c r="E112" s="1"/>
      <c r="F112" s="1"/>
      <c r="G112" s="14"/>
      <c r="H112" s="14"/>
      <c r="I112" s="14"/>
      <c r="J112" s="1"/>
      <c r="K112" s="1"/>
      <c r="L112" s="1"/>
      <c r="M112" s="1"/>
      <c r="N112" s="1"/>
      <c r="O112" s="20"/>
      <c r="P112" s="1"/>
      <c r="Q112" s="1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>
      <c r="A113" s="1"/>
      <c r="B113" s="15"/>
      <c r="C113" s="1"/>
      <c r="D113" s="1"/>
      <c r="E113" s="1"/>
      <c r="F113" s="1"/>
      <c r="G113" s="14"/>
      <c r="H113" s="14"/>
      <c r="I113" s="14"/>
      <c r="J113" s="1"/>
      <c r="K113" s="1"/>
      <c r="L113" s="1"/>
      <c r="M113" s="1"/>
      <c r="N113" s="1"/>
      <c r="O113" s="20"/>
      <c r="P113" s="1"/>
      <c r="Q113" s="14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>
      <c r="A114" s="1"/>
      <c r="B114" s="15"/>
      <c r="C114" s="1"/>
      <c r="D114" s="1"/>
      <c r="E114" s="1"/>
      <c r="F114" s="1"/>
      <c r="G114" s="14"/>
      <c r="H114" s="14"/>
      <c r="I114" s="14"/>
      <c r="J114" s="1"/>
      <c r="K114" s="1"/>
      <c r="L114" s="1"/>
      <c r="M114" s="1"/>
      <c r="N114" s="1"/>
      <c r="O114" s="20"/>
      <c r="P114" s="1"/>
      <c r="Q114" s="1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</sheetData>
  <mergeCells count="36">
    <mergeCell ref="F49:G49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37:G37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F35:G35"/>
    <mergeCell ref="F36:G36"/>
    <mergeCell ref="G20:J20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</mergeCells>
  <pageMargins left="0.7" right="0.7" top="0.75" bottom="0.75" header="0.3" footer="0.3"/>
  <pageSetup paperSize="9" scale="30" orientation="portrait" horizontalDpi="4294967295" verticalDpi="4294967295" r:id="rId1"/>
  <ignoredErrors>
    <ignoredError sqref="P30:Q3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61"/>
  <sheetViews>
    <sheetView topLeftCell="C1" zoomScale="90" zoomScaleNormal="90" zoomScalePageLayoutView="90" workbookViewId="0">
      <pane ySplit="3" topLeftCell="A4" activePane="bottomLeft" state="frozen"/>
      <selection pane="bottomLeft" activeCell="H53" sqref="H53"/>
    </sheetView>
  </sheetViews>
  <sheetFormatPr baseColWidth="10" defaultColWidth="10.85546875" defaultRowHeight="15"/>
  <cols>
    <col min="1" max="1" width="6.42578125" style="12" customWidth="1"/>
    <col min="2" max="2" width="22.42578125" style="12" bestFit="1" customWidth="1"/>
    <col min="3" max="3" width="16" style="12" bestFit="1" customWidth="1"/>
    <col min="4" max="4" width="12.7109375" style="12" customWidth="1"/>
    <col min="5" max="5" width="18.140625" style="12" customWidth="1"/>
    <col min="6" max="6" width="15.42578125" style="12" customWidth="1"/>
    <col min="7" max="7" width="13.28515625" style="12" customWidth="1"/>
    <col min="8" max="8" width="16.85546875" style="12" customWidth="1"/>
    <col min="9" max="16384" width="10.85546875" style="12"/>
  </cols>
  <sheetData>
    <row r="1" spans="4:8" s="328" customFormat="1"/>
    <row r="2" spans="4:8" s="328" customFormat="1" ht="21">
      <c r="D2" s="828" t="s">
        <v>406</v>
      </c>
      <c r="E2" s="828"/>
      <c r="F2" s="828"/>
      <c r="G2" s="828"/>
      <c r="H2" s="828"/>
    </row>
    <row r="4" spans="4:8" ht="15.75" thickBot="1">
      <c r="D4" s="76" t="s">
        <v>101</v>
      </c>
      <c r="E4" s="76"/>
    </row>
    <row r="5" spans="4:8">
      <c r="F5" s="429" t="s">
        <v>100</v>
      </c>
      <c r="G5" s="302"/>
      <c r="H5" s="486" t="str">
        <f>Resumen!C5</f>
        <v>Operador X</v>
      </c>
    </row>
    <row r="6" spans="4:8" s="231" customFormat="1" ht="15.75" thickBot="1">
      <c r="E6" s="233"/>
      <c r="F6" s="430" t="s">
        <v>4</v>
      </c>
      <c r="G6" s="431"/>
      <c r="H6" s="491" t="s">
        <v>34</v>
      </c>
    </row>
    <row r="7" spans="4:8">
      <c r="E7" s="219"/>
      <c r="F7" s="435">
        <v>1</v>
      </c>
      <c r="G7" s="305"/>
      <c r="H7" s="493">
        <v>7.5750000000000001E-3</v>
      </c>
    </row>
    <row r="8" spans="4:8">
      <c r="E8" s="219"/>
      <c r="F8" s="432">
        <v>2</v>
      </c>
      <c r="G8" s="303"/>
      <c r="H8" s="493">
        <v>7.5750000000000001E-3</v>
      </c>
    </row>
    <row r="9" spans="4:8">
      <c r="E9" s="219"/>
      <c r="F9" s="432">
        <v>3</v>
      </c>
      <c r="G9" s="303"/>
      <c r="H9" s="493">
        <v>7.5750000000000001E-3</v>
      </c>
    </row>
    <row r="10" spans="4:8">
      <c r="E10" s="219"/>
      <c r="F10" s="432">
        <v>4</v>
      </c>
      <c r="G10" s="303"/>
      <c r="H10" s="493">
        <v>7.5750000000000001E-3</v>
      </c>
    </row>
    <row r="11" spans="4:8">
      <c r="E11" s="219"/>
      <c r="F11" s="432">
        <v>5</v>
      </c>
      <c r="G11" s="303"/>
      <c r="H11" s="493">
        <v>7.5750000000000001E-3</v>
      </c>
    </row>
    <row r="12" spans="4:8">
      <c r="E12" s="219"/>
      <c r="F12" s="432">
        <v>6</v>
      </c>
      <c r="G12" s="303"/>
      <c r="H12" s="493">
        <v>7.5750000000000001E-3</v>
      </c>
    </row>
    <row r="13" spans="4:8">
      <c r="E13" s="219"/>
      <c r="F13" s="432">
        <v>7</v>
      </c>
      <c r="G13" s="303"/>
      <c r="H13" s="493">
        <v>7.5750000000000001E-3</v>
      </c>
    </row>
    <row r="14" spans="4:8">
      <c r="E14" s="219"/>
      <c r="F14" s="432">
        <v>8</v>
      </c>
      <c r="G14" s="303"/>
      <c r="H14" s="333" t="b">
        <v>0</v>
      </c>
    </row>
    <row r="15" spans="4:8" ht="15.75" thickBot="1">
      <c r="E15" s="74"/>
      <c r="F15" s="434">
        <v>9</v>
      </c>
      <c r="G15" s="304"/>
      <c r="H15" s="492" t="b">
        <v>0</v>
      </c>
    </row>
    <row r="17" spans="4:8" ht="15.75" thickBot="1">
      <c r="D17" s="76" t="s">
        <v>48</v>
      </c>
      <c r="E17" s="76"/>
    </row>
    <row r="18" spans="4:8">
      <c r="F18" s="429" t="s">
        <v>100</v>
      </c>
      <c r="G18" s="302"/>
      <c r="H18" s="486" t="str">
        <f>H5</f>
        <v>Operador X</v>
      </c>
    </row>
    <row r="19" spans="4:8" ht="15.75" thickBot="1">
      <c r="E19" s="87"/>
      <c r="F19" s="430"/>
      <c r="G19" s="431"/>
      <c r="H19" s="491" t="s">
        <v>8</v>
      </c>
    </row>
    <row r="20" spans="4:8">
      <c r="F20" s="435">
        <v>1</v>
      </c>
      <c r="G20" s="305"/>
      <c r="H20" s="493">
        <v>1.226E-2</v>
      </c>
    </row>
    <row r="21" spans="4:8">
      <c r="F21" s="432">
        <v>2</v>
      </c>
      <c r="G21" s="303"/>
      <c r="H21" s="493">
        <v>1.226E-2</v>
      </c>
    </row>
    <row r="22" spans="4:8">
      <c r="F22" s="432">
        <v>3</v>
      </c>
      <c r="G22" s="303"/>
      <c r="H22" s="493">
        <v>1.226E-2</v>
      </c>
    </row>
    <row r="23" spans="4:8">
      <c r="F23" s="432">
        <v>4</v>
      </c>
      <c r="G23" s="303"/>
      <c r="H23" s="493">
        <v>1.226E-2</v>
      </c>
    </row>
    <row r="24" spans="4:8">
      <c r="F24" s="432">
        <v>5</v>
      </c>
      <c r="G24" s="303"/>
      <c r="H24" s="493">
        <v>1.226E-2</v>
      </c>
    </row>
    <row r="25" spans="4:8">
      <c r="F25" s="432">
        <v>6</v>
      </c>
      <c r="G25" s="303"/>
      <c r="H25" s="493">
        <v>1.226E-2</v>
      </c>
    </row>
    <row r="26" spans="4:8">
      <c r="F26" s="432">
        <v>7</v>
      </c>
      <c r="G26" s="303"/>
      <c r="H26" s="493">
        <v>1.226E-2</v>
      </c>
    </row>
    <row r="27" spans="4:8">
      <c r="F27" s="432">
        <v>8</v>
      </c>
      <c r="G27" s="303"/>
      <c r="H27" s="333" t="b">
        <v>0</v>
      </c>
    </row>
    <row r="28" spans="4:8" ht="15.75" thickBot="1">
      <c r="E28" s="74"/>
      <c r="F28" s="434">
        <v>9</v>
      </c>
      <c r="G28" s="304"/>
      <c r="H28" s="492" t="b">
        <v>0</v>
      </c>
    </row>
    <row r="30" spans="4:8" ht="15.75" thickBot="1">
      <c r="D30" s="76" t="s">
        <v>49</v>
      </c>
      <c r="E30" s="76"/>
      <c r="H30" s="73">
        <v>7.3999999999999996E-2</v>
      </c>
    </row>
    <row r="31" spans="4:8">
      <c r="F31" s="429" t="s">
        <v>100</v>
      </c>
      <c r="G31" s="302"/>
      <c r="H31" s="486" t="str">
        <f>H5</f>
        <v>Operador X</v>
      </c>
    </row>
    <row r="32" spans="4:8" ht="15.75" thickBot="1">
      <c r="E32" s="87"/>
      <c r="F32" s="430"/>
      <c r="G32" s="431"/>
      <c r="H32" s="491" t="s">
        <v>8</v>
      </c>
    </row>
    <row r="33" spans="4:8">
      <c r="F33" s="435">
        <v>1</v>
      </c>
      <c r="G33" s="305"/>
      <c r="H33" s="436">
        <v>3.3960000000000001E-3</v>
      </c>
    </row>
    <row r="34" spans="4:8">
      <c r="F34" s="432">
        <v>2</v>
      </c>
      <c r="G34" s="303"/>
      <c r="H34" s="436">
        <v>3.3960000000000001E-3</v>
      </c>
    </row>
    <row r="35" spans="4:8">
      <c r="F35" s="432">
        <v>3</v>
      </c>
      <c r="G35" s="303"/>
      <c r="H35" s="436">
        <v>3.3960000000000001E-3</v>
      </c>
    </row>
    <row r="36" spans="4:8">
      <c r="F36" s="432">
        <v>4</v>
      </c>
      <c r="G36" s="303"/>
      <c r="H36" s="436">
        <v>3.3960000000000001E-3</v>
      </c>
    </row>
    <row r="37" spans="4:8">
      <c r="F37" s="432">
        <v>5</v>
      </c>
      <c r="G37" s="303"/>
      <c r="H37" s="433">
        <v>0.11138999999999999</v>
      </c>
    </row>
    <row r="38" spans="4:8">
      <c r="F38" s="432">
        <v>6</v>
      </c>
      <c r="G38" s="303"/>
      <c r="H38" s="433">
        <v>0.11138999999999999</v>
      </c>
    </row>
    <row r="39" spans="4:8">
      <c r="F39" s="432">
        <v>7</v>
      </c>
      <c r="G39" s="303"/>
      <c r="H39" s="433">
        <v>0.11138999999999999</v>
      </c>
    </row>
    <row r="40" spans="4:8">
      <c r="F40" s="432">
        <v>8</v>
      </c>
      <c r="G40" s="303"/>
      <c r="H40" s="333" t="b">
        <v>0</v>
      </c>
    </row>
    <row r="41" spans="4:8" ht="15.75" thickBot="1">
      <c r="F41" s="434">
        <v>9</v>
      </c>
      <c r="G41" s="304"/>
      <c r="H41" s="492" t="b">
        <v>0</v>
      </c>
    </row>
    <row r="43" spans="4:8" ht="15.75" thickBot="1">
      <c r="D43" s="76" t="s">
        <v>99</v>
      </c>
      <c r="E43" s="76"/>
    </row>
    <row r="44" spans="4:8">
      <c r="D44" s="74"/>
      <c r="E44" s="74"/>
      <c r="F44" s="429" t="s">
        <v>41</v>
      </c>
      <c r="G44" s="302"/>
      <c r="H44" s="486" t="str">
        <f>H5</f>
        <v>Operador X</v>
      </c>
    </row>
    <row r="45" spans="4:8">
      <c r="E45" s="74"/>
      <c r="F45" s="435"/>
      <c r="G45" s="305"/>
      <c r="H45" s="333" t="s">
        <v>34</v>
      </c>
    </row>
    <row r="46" spans="4:8" ht="15.75" thickBot="1">
      <c r="E46" s="74"/>
      <c r="F46" s="434" t="s">
        <v>43</v>
      </c>
      <c r="G46" s="304" t="s">
        <v>293</v>
      </c>
      <c r="H46" s="492">
        <v>6.6199999999999995E-2</v>
      </c>
    </row>
    <row r="50" spans="3:12" ht="15.75" thickBot="1">
      <c r="C50" s="5" t="s">
        <v>351</v>
      </c>
      <c r="D50" s="3"/>
      <c r="E50" s="3"/>
      <c r="F50" s="3"/>
      <c r="G50" s="3"/>
      <c r="H50" s="3"/>
      <c r="I50" s="3"/>
      <c r="J50" s="3"/>
      <c r="K50" s="3"/>
      <c r="L50" s="5"/>
    </row>
    <row r="51" spans="3:12">
      <c r="F51" s="429" t="s">
        <v>98</v>
      </c>
      <c r="G51" s="302"/>
      <c r="H51" s="486" t="str">
        <f>H5</f>
        <v>Operador X</v>
      </c>
    </row>
    <row r="52" spans="3:12" ht="15.75" thickBot="1">
      <c r="E52" s="87"/>
      <c r="F52" s="306"/>
      <c r="G52" s="93"/>
      <c r="H52" s="487" t="s">
        <v>34</v>
      </c>
    </row>
    <row r="53" spans="3:12" s="10" customFormat="1">
      <c r="E53" s="84"/>
      <c r="F53" s="307" t="s">
        <v>97</v>
      </c>
      <c r="G53" s="310"/>
      <c r="H53" s="488">
        <v>0.27100000000000002</v>
      </c>
    </row>
    <row r="54" spans="3:12" s="10" customFormat="1">
      <c r="E54" s="84"/>
      <c r="F54" s="308" t="s">
        <v>96</v>
      </c>
      <c r="G54" s="333"/>
      <c r="H54" s="489">
        <v>0.46800000000000003</v>
      </c>
    </row>
    <row r="55" spans="3:12" ht="15.75" thickBot="1">
      <c r="E55" s="74"/>
      <c r="F55" s="309" t="s">
        <v>95</v>
      </c>
      <c r="G55" s="311"/>
      <c r="H55" s="490">
        <v>7.5999999999999998E-2</v>
      </c>
    </row>
    <row r="58" spans="3:12" ht="15.75" thickBot="1">
      <c r="C58" s="328" t="s">
        <v>397</v>
      </c>
      <c r="D58" s="76"/>
      <c r="E58" s="76"/>
      <c r="F58" s="328"/>
      <c r="G58" s="328"/>
      <c r="H58" s="328"/>
    </row>
    <row r="59" spans="3:12">
      <c r="C59" s="328"/>
      <c r="D59" s="74"/>
      <c r="E59" s="74"/>
      <c r="F59" s="887" t="s">
        <v>398</v>
      </c>
      <c r="G59" s="888"/>
      <c r="H59" s="486" t="str">
        <f>H51</f>
        <v>Operador X</v>
      </c>
    </row>
    <row r="60" spans="3:12" ht="15.75" thickBot="1">
      <c r="C60" s="328"/>
      <c r="D60" s="328"/>
      <c r="E60" s="74"/>
      <c r="F60" s="533"/>
      <c r="G60" s="531"/>
      <c r="H60" s="534" t="s">
        <v>34</v>
      </c>
    </row>
    <row r="61" spans="3:12" ht="15.75" thickBot="1">
      <c r="C61" s="328"/>
      <c r="D61" s="328"/>
      <c r="E61" s="74"/>
      <c r="F61" s="533" t="s">
        <v>399</v>
      </c>
      <c r="G61" s="531"/>
      <c r="H61" s="532">
        <f>'Costo Recaudacion'!$AG$6</f>
        <v>1.3796967119774042</v>
      </c>
    </row>
  </sheetData>
  <sortState ref="B10:L48">
    <sortCondition ref="B10:B48"/>
    <sortCondition ref="C10:C48"/>
    <sortCondition ref="D10:D48"/>
  </sortState>
  <mergeCells count="2">
    <mergeCell ref="F59:G59"/>
    <mergeCell ref="D2:H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L20" sqref="L20"/>
    </sheetView>
  </sheetViews>
  <sheetFormatPr baseColWidth="10" defaultRowHeight="15"/>
  <sheetData>
    <row r="1" spans="1:2">
      <c r="A1" t="s">
        <v>304</v>
      </c>
      <c r="B1" t="e">
        <f>Resumen!#REF!</f>
        <v>#REF!</v>
      </c>
    </row>
    <row r="2" spans="1:2">
      <c r="A2" t="s">
        <v>6</v>
      </c>
      <c r="B2" t="e">
        <f>Resumen!#REF!</f>
        <v>#REF!</v>
      </c>
    </row>
    <row r="3" spans="1:2">
      <c r="A3" t="s">
        <v>94</v>
      </c>
      <c r="B3" t="e">
        <f>Resumen!#REF!</f>
        <v>#REF!</v>
      </c>
    </row>
    <row r="4" spans="1:2">
      <c r="A4" t="s">
        <v>92</v>
      </c>
      <c r="B4" t="e">
        <f>Resumen!#REF!</f>
        <v>#REF!</v>
      </c>
    </row>
    <row r="5" spans="1:2">
      <c r="A5" t="s">
        <v>93</v>
      </c>
      <c r="B5">
        <f>Resumen!C6</f>
        <v>0.10396328100252254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showGridLines="0" workbookViewId="0">
      <selection activeCell="AG6" sqref="AG6"/>
    </sheetView>
  </sheetViews>
  <sheetFormatPr baseColWidth="10" defaultColWidth="10.85546875" defaultRowHeight="15" outlineLevelCol="1"/>
  <cols>
    <col min="1" max="1" width="2.7109375" style="340" customWidth="1"/>
    <col min="2" max="2" width="3.28515625" style="340" customWidth="1"/>
    <col min="3" max="3" width="2.140625" style="340" customWidth="1"/>
    <col min="4" max="4" width="5.42578125" style="340" customWidth="1"/>
    <col min="5" max="5" width="19.42578125" style="128" customWidth="1"/>
    <col min="6" max="6" width="24.85546875" style="123" customWidth="1"/>
    <col min="7" max="7" width="14.42578125" style="12" hidden="1" customWidth="1" outlineLevel="1"/>
    <col min="8" max="8" width="17.7109375" style="12" hidden="1" customWidth="1" outlineLevel="1"/>
    <col min="9" max="9" width="12.85546875" style="12" hidden="1" customWidth="1" outlineLevel="1"/>
    <col min="10" max="10" width="17.7109375" style="12" hidden="1" customWidth="1" outlineLevel="1"/>
    <col min="11" max="11" width="12.85546875" style="12" hidden="1" customWidth="1" outlineLevel="1"/>
    <col min="12" max="12" width="17.7109375" style="12" hidden="1" customWidth="1" outlineLevel="1"/>
    <col min="13" max="13" width="12.85546875" style="12" hidden="1" customWidth="1" outlineLevel="1"/>
    <col min="14" max="14" width="17.7109375" style="12" hidden="1" customWidth="1" outlineLevel="1"/>
    <col min="15" max="15" width="12.85546875" style="12" hidden="1" customWidth="1" outlineLevel="1"/>
    <col min="16" max="16" width="17.7109375" style="12" hidden="1" customWidth="1" outlineLevel="1"/>
    <col min="17" max="17" width="12.85546875" style="12" hidden="1" customWidth="1" outlineLevel="1"/>
    <col min="18" max="18" width="17.7109375" style="12" hidden="1" customWidth="1" outlineLevel="1"/>
    <col min="19" max="19" width="13.140625" style="12" hidden="1" customWidth="1" outlineLevel="1"/>
    <col min="20" max="20" width="17.42578125" style="12" hidden="1" customWidth="1" outlineLevel="1"/>
    <col min="21" max="21" width="12.42578125" style="12" hidden="1" customWidth="1" outlineLevel="1"/>
    <col min="22" max="22" width="17.42578125" style="12" hidden="1" customWidth="1" outlineLevel="1"/>
    <col min="23" max="23" width="12.42578125" style="12" hidden="1" customWidth="1" outlineLevel="1"/>
    <col min="24" max="24" width="17.42578125" style="12" hidden="1" customWidth="1" outlineLevel="1"/>
    <col min="25" max="25" width="12.42578125" style="12" hidden="1" customWidth="1" outlineLevel="1"/>
    <col min="26" max="26" width="17.42578125" style="12" hidden="1" customWidth="1" outlineLevel="1"/>
    <col min="27" max="27" width="12.42578125" style="12" hidden="1" customWidth="1" outlineLevel="1"/>
    <col min="28" max="28" width="17.42578125" style="12" hidden="1" customWidth="1" outlineLevel="1"/>
    <col min="29" max="29" width="12.42578125" style="12" hidden="1" customWidth="1" outlineLevel="1"/>
    <col min="30" max="30" width="17.42578125" style="12" hidden="1" customWidth="1" outlineLevel="1"/>
    <col min="31" max="31" width="16" style="12" customWidth="1" collapsed="1"/>
    <col min="32" max="32" width="15" style="12" customWidth="1"/>
    <col min="33" max="33" width="12.42578125" style="124" bestFit="1" customWidth="1"/>
    <col min="34" max="34" width="9.42578125" style="23" customWidth="1"/>
    <col min="35" max="35" width="15.42578125" style="12" bestFit="1" customWidth="1"/>
    <col min="36" max="36" width="10.85546875" style="12"/>
    <col min="37" max="37" width="13.5703125" style="12" bestFit="1" customWidth="1"/>
    <col min="38" max="16384" width="10.85546875" style="12"/>
  </cols>
  <sheetData>
    <row r="1" spans="1:37">
      <c r="A1" s="392"/>
      <c r="B1" s="392"/>
      <c r="C1" s="392"/>
      <c r="D1" s="392"/>
      <c r="E1" s="122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H1" s="643"/>
      <c r="AI1" s="49"/>
    </row>
    <row r="2" spans="1:37">
      <c r="A2" s="392"/>
      <c r="B2" s="392"/>
      <c r="C2" s="392"/>
      <c r="D2" s="392"/>
      <c r="E2" s="122"/>
      <c r="F2" s="535" t="s">
        <v>407</v>
      </c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329"/>
      <c r="AF2" s="329"/>
      <c r="AH2" s="643"/>
      <c r="AI2" s="329"/>
    </row>
    <row r="3" spans="1:37" ht="15.75" thickBot="1">
      <c r="D3" s="392"/>
      <c r="E3" s="122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H3" s="643"/>
      <c r="AI3" s="49"/>
    </row>
    <row r="4" spans="1:37" s="213" customFormat="1" ht="15" customHeight="1">
      <c r="A4" s="438"/>
      <c r="B4" s="438"/>
      <c r="C4" s="438"/>
      <c r="D4" s="438"/>
      <c r="E4" s="441" t="s">
        <v>365</v>
      </c>
      <c r="F4" s="442" t="s">
        <v>366</v>
      </c>
      <c r="G4" s="896"/>
      <c r="H4" s="896"/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896"/>
      <c r="AA4" s="896"/>
      <c r="AB4" s="896"/>
      <c r="AC4" s="896"/>
      <c r="AD4" s="896"/>
      <c r="AE4" s="892" t="s">
        <v>163</v>
      </c>
      <c r="AF4" s="892" t="s">
        <v>164</v>
      </c>
      <c r="AG4" s="894" t="s">
        <v>165</v>
      </c>
      <c r="AH4" s="443" t="s">
        <v>430</v>
      </c>
      <c r="AI4" s="890" t="s">
        <v>166</v>
      </c>
    </row>
    <row r="5" spans="1:37" s="213" customFormat="1">
      <c r="A5" s="438"/>
      <c r="B5" s="438"/>
      <c r="C5" s="438"/>
      <c r="D5" s="438"/>
      <c r="E5" s="444"/>
      <c r="F5" s="439"/>
      <c r="G5" s="889" t="s">
        <v>418</v>
      </c>
      <c r="H5" s="889"/>
      <c r="I5" s="889" t="s">
        <v>419</v>
      </c>
      <c r="J5" s="889"/>
      <c r="K5" s="889" t="s">
        <v>420</v>
      </c>
      <c r="L5" s="889"/>
      <c r="M5" s="889" t="s">
        <v>421</v>
      </c>
      <c r="N5" s="889"/>
      <c r="O5" s="889" t="s">
        <v>422</v>
      </c>
      <c r="P5" s="889"/>
      <c r="Q5" s="889" t="s">
        <v>423</v>
      </c>
      <c r="R5" s="889"/>
      <c r="S5" s="889" t="s">
        <v>424</v>
      </c>
      <c r="T5" s="889"/>
      <c r="U5" s="889" t="s">
        <v>425</v>
      </c>
      <c r="V5" s="889"/>
      <c r="W5" s="889" t="s">
        <v>426</v>
      </c>
      <c r="X5" s="889"/>
      <c r="Y5" s="889" t="s">
        <v>427</v>
      </c>
      <c r="Z5" s="889"/>
      <c r="AA5" s="889" t="s">
        <v>428</v>
      </c>
      <c r="AB5" s="889"/>
      <c r="AC5" s="889" t="s">
        <v>429</v>
      </c>
      <c r="AD5" s="889"/>
      <c r="AE5" s="893"/>
      <c r="AF5" s="893"/>
      <c r="AG5" s="895"/>
      <c r="AH5" s="440" t="s">
        <v>107</v>
      </c>
      <c r="AI5" s="891"/>
    </row>
    <row r="6" spans="1:37" ht="15.75" thickBot="1">
      <c r="A6" s="437"/>
      <c r="B6" s="437"/>
      <c r="C6" s="437"/>
      <c r="D6" s="437"/>
      <c r="E6" s="637" t="str">
        <f>Resumen!C5</f>
        <v>Operador X</v>
      </c>
      <c r="F6" s="638"/>
      <c r="G6" s="639" t="s">
        <v>416</v>
      </c>
      <c r="H6" s="639" t="s">
        <v>417</v>
      </c>
      <c r="I6" s="639" t="s">
        <v>416</v>
      </c>
      <c r="J6" s="639" t="s">
        <v>417</v>
      </c>
      <c r="K6" s="639" t="s">
        <v>416</v>
      </c>
      <c r="L6" s="639" t="s">
        <v>417</v>
      </c>
      <c r="M6" s="639" t="s">
        <v>416</v>
      </c>
      <c r="N6" s="639" t="s">
        <v>417</v>
      </c>
      <c r="O6" s="639" t="s">
        <v>416</v>
      </c>
      <c r="P6" s="639" t="s">
        <v>417</v>
      </c>
      <c r="Q6" s="639" t="s">
        <v>416</v>
      </c>
      <c r="R6" s="639" t="s">
        <v>417</v>
      </c>
      <c r="S6" s="639" t="s">
        <v>416</v>
      </c>
      <c r="T6" s="639" t="s">
        <v>417</v>
      </c>
      <c r="U6" s="639" t="s">
        <v>416</v>
      </c>
      <c r="V6" s="639" t="s">
        <v>417</v>
      </c>
      <c r="W6" s="639" t="s">
        <v>416</v>
      </c>
      <c r="X6" s="639" t="s">
        <v>417</v>
      </c>
      <c r="Y6" s="639" t="s">
        <v>416</v>
      </c>
      <c r="Z6" s="639" t="s">
        <v>417</v>
      </c>
      <c r="AA6" s="639" t="s">
        <v>416</v>
      </c>
      <c r="AB6" s="639" t="s">
        <v>417</v>
      </c>
      <c r="AC6" s="639" t="s">
        <v>416</v>
      </c>
      <c r="AD6" s="639" t="s">
        <v>417</v>
      </c>
      <c r="AE6" s="640">
        <f>SUM(AE7:AE19)</f>
        <v>39000000</v>
      </c>
      <c r="AF6" s="640"/>
      <c r="AG6" s="641">
        <f>AI6/AE6</f>
        <v>1.3796967119774042</v>
      </c>
      <c r="AH6" s="644"/>
      <c r="AI6" s="642">
        <f>SUM(AI7:AI19)</f>
        <v>53808171.767118759</v>
      </c>
    </row>
    <row r="7" spans="1:37">
      <c r="A7" s="445"/>
      <c r="B7" s="445"/>
      <c r="C7" s="445"/>
      <c r="D7" s="445"/>
      <c r="E7" s="778" t="str">
        <f>E6</f>
        <v>Operador X</v>
      </c>
      <c r="F7" s="779" t="s">
        <v>73</v>
      </c>
      <c r="G7" s="780">
        <v>12000</v>
      </c>
      <c r="H7" s="781">
        <v>10000</v>
      </c>
      <c r="I7" s="780">
        <v>12000</v>
      </c>
      <c r="J7" s="781">
        <v>10000</v>
      </c>
      <c r="K7" s="780">
        <v>12000</v>
      </c>
      <c r="L7" s="781">
        <v>10000</v>
      </c>
      <c r="M7" s="780">
        <v>12000</v>
      </c>
      <c r="N7" s="781">
        <v>10000</v>
      </c>
      <c r="O7" s="780">
        <v>12000</v>
      </c>
      <c r="P7" s="781">
        <v>10000</v>
      </c>
      <c r="Q7" s="780">
        <v>12000</v>
      </c>
      <c r="R7" s="781">
        <v>10000</v>
      </c>
      <c r="S7" s="780">
        <v>12000</v>
      </c>
      <c r="T7" s="781">
        <v>10000</v>
      </c>
      <c r="U7" s="780">
        <v>12000</v>
      </c>
      <c r="V7" s="781">
        <v>10000</v>
      </c>
      <c r="W7" s="780">
        <v>12000</v>
      </c>
      <c r="X7" s="781">
        <v>10000</v>
      </c>
      <c r="Y7" s="780">
        <v>12000</v>
      </c>
      <c r="Z7" s="781">
        <v>10000</v>
      </c>
      <c r="AA7" s="780">
        <v>12000</v>
      </c>
      <c r="AB7" s="781">
        <v>10000</v>
      </c>
      <c r="AC7" s="780">
        <v>12000</v>
      </c>
      <c r="AD7" s="781">
        <v>10000</v>
      </c>
      <c r="AE7" s="780">
        <v>3000000</v>
      </c>
      <c r="AF7" s="780">
        <f>AD7+AB7+Z7+X7+V7+T7+R7+P7+N7+L7+J7+H7</f>
        <v>120000</v>
      </c>
      <c r="AG7" s="782">
        <v>0.8</v>
      </c>
      <c r="AH7" s="781">
        <v>0</v>
      </c>
      <c r="AI7" s="783">
        <f t="shared" ref="AI7:AI19" si="0">IF(AH7=0,AG7*AE7,AG7*AF7)</f>
        <v>2400000</v>
      </c>
    </row>
    <row r="8" spans="1:37">
      <c r="A8" s="445"/>
      <c r="B8" s="445"/>
      <c r="C8" s="445"/>
      <c r="D8" s="445"/>
      <c r="E8" s="784" t="s">
        <v>383</v>
      </c>
      <c r="F8" s="785" t="s">
        <v>196</v>
      </c>
      <c r="G8" s="786">
        <v>13000</v>
      </c>
      <c r="H8" s="787">
        <v>20000</v>
      </c>
      <c r="I8" s="786">
        <v>13000</v>
      </c>
      <c r="J8" s="787">
        <v>20000</v>
      </c>
      <c r="K8" s="786">
        <v>13000</v>
      </c>
      <c r="L8" s="787">
        <v>20000</v>
      </c>
      <c r="M8" s="786">
        <v>13000</v>
      </c>
      <c r="N8" s="787">
        <v>20000</v>
      </c>
      <c r="O8" s="786">
        <v>13000</v>
      </c>
      <c r="P8" s="787">
        <v>20000</v>
      </c>
      <c r="Q8" s="786">
        <v>13000</v>
      </c>
      <c r="R8" s="787">
        <v>20000</v>
      </c>
      <c r="S8" s="786">
        <v>13000</v>
      </c>
      <c r="T8" s="787">
        <v>20000</v>
      </c>
      <c r="U8" s="786">
        <v>13000</v>
      </c>
      <c r="V8" s="787">
        <v>20000</v>
      </c>
      <c r="W8" s="786">
        <v>13000</v>
      </c>
      <c r="X8" s="787">
        <v>20000</v>
      </c>
      <c r="Y8" s="786">
        <v>13000</v>
      </c>
      <c r="Z8" s="787">
        <v>20000</v>
      </c>
      <c r="AA8" s="786">
        <v>13000</v>
      </c>
      <c r="AB8" s="787">
        <v>20000</v>
      </c>
      <c r="AC8" s="786">
        <v>13000</v>
      </c>
      <c r="AD8" s="787">
        <v>20000</v>
      </c>
      <c r="AE8" s="786">
        <v>3000000</v>
      </c>
      <c r="AF8" s="786">
        <f t="shared" ref="AF8:AF19" si="1">AD8+AB8+Z8+X8+V8+T8+R8+P8+N8+L8+J8+H8</f>
        <v>240000</v>
      </c>
      <c r="AG8" s="788">
        <v>0.95</v>
      </c>
      <c r="AH8" s="787">
        <v>0</v>
      </c>
      <c r="AI8" s="789">
        <f t="shared" si="0"/>
        <v>2850000</v>
      </c>
      <c r="AK8" s="814"/>
    </row>
    <row r="9" spans="1:37">
      <c r="A9" s="445"/>
      <c r="B9" s="445"/>
      <c r="C9" s="445"/>
      <c r="D9" s="445"/>
      <c r="E9" s="784" t="s">
        <v>384</v>
      </c>
      <c r="F9" s="785" t="s">
        <v>196</v>
      </c>
      <c r="G9" s="786">
        <v>14000</v>
      </c>
      <c r="H9" s="787">
        <v>30000</v>
      </c>
      <c r="I9" s="786">
        <v>14000</v>
      </c>
      <c r="J9" s="787">
        <v>30000</v>
      </c>
      <c r="K9" s="786">
        <v>14000</v>
      </c>
      <c r="L9" s="787">
        <v>30000</v>
      </c>
      <c r="M9" s="786">
        <v>14000</v>
      </c>
      <c r="N9" s="787">
        <v>30000</v>
      </c>
      <c r="O9" s="786">
        <v>14000</v>
      </c>
      <c r="P9" s="787">
        <v>30000</v>
      </c>
      <c r="Q9" s="786">
        <v>14000</v>
      </c>
      <c r="R9" s="787">
        <v>30000</v>
      </c>
      <c r="S9" s="786">
        <v>14000</v>
      </c>
      <c r="T9" s="787">
        <v>30000</v>
      </c>
      <c r="U9" s="786">
        <v>14000</v>
      </c>
      <c r="V9" s="787">
        <v>30000</v>
      </c>
      <c r="W9" s="786">
        <v>14000</v>
      </c>
      <c r="X9" s="787">
        <v>30000</v>
      </c>
      <c r="Y9" s="786">
        <v>14000</v>
      </c>
      <c r="Z9" s="787">
        <v>30000</v>
      </c>
      <c r="AA9" s="786">
        <v>14000</v>
      </c>
      <c r="AB9" s="787">
        <v>30000</v>
      </c>
      <c r="AC9" s="786">
        <v>14000</v>
      </c>
      <c r="AD9" s="787">
        <v>30000</v>
      </c>
      <c r="AE9" s="786">
        <v>3000000</v>
      </c>
      <c r="AF9" s="786">
        <f t="shared" si="1"/>
        <v>360000</v>
      </c>
      <c r="AG9" s="788">
        <v>0.95</v>
      </c>
      <c r="AH9" s="787">
        <v>0</v>
      </c>
      <c r="AI9" s="789">
        <f t="shared" si="0"/>
        <v>2850000</v>
      </c>
    </row>
    <row r="10" spans="1:37">
      <c r="A10" s="445"/>
      <c r="B10" s="445"/>
      <c r="C10" s="445"/>
      <c r="D10" s="445"/>
      <c r="E10" s="784" t="s">
        <v>385</v>
      </c>
      <c r="F10" s="785" t="s">
        <v>196</v>
      </c>
      <c r="G10" s="786">
        <v>15000</v>
      </c>
      <c r="H10" s="787">
        <v>40000</v>
      </c>
      <c r="I10" s="786">
        <v>15000</v>
      </c>
      <c r="J10" s="787">
        <v>40000</v>
      </c>
      <c r="K10" s="786">
        <v>15000</v>
      </c>
      <c r="L10" s="787">
        <v>40000</v>
      </c>
      <c r="M10" s="786">
        <v>15000</v>
      </c>
      <c r="N10" s="787">
        <v>40000</v>
      </c>
      <c r="O10" s="786">
        <v>15000</v>
      </c>
      <c r="P10" s="787">
        <v>40000</v>
      </c>
      <c r="Q10" s="786">
        <v>15000</v>
      </c>
      <c r="R10" s="787">
        <v>40000</v>
      </c>
      <c r="S10" s="786">
        <v>15000</v>
      </c>
      <c r="T10" s="787">
        <v>40000</v>
      </c>
      <c r="U10" s="786">
        <v>15000</v>
      </c>
      <c r="V10" s="787">
        <v>40000</v>
      </c>
      <c r="W10" s="786">
        <v>15000</v>
      </c>
      <c r="X10" s="787">
        <v>40000</v>
      </c>
      <c r="Y10" s="786">
        <v>15000</v>
      </c>
      <c r="Z10" s="787">
        <v>40000</v>
      </c>
      <c r="AA10" s="786">
        <v>15000</v>
      </c>
      <c r="AB10" s="787">
        <v>40000</v>
      </c>
      <c r="AC10" s="786">
        <v>15000</v>
      </c>
      <c r="AD10" s="787">
        <v>40000</v>
      </c>
      <c r="AE10" s="786">
        <v>3000000</v>
      </c>
      <c r="AF10" s="786">
        <f t="shared" si="1"/>
        <v>480000</v>
      </c>
      <c r="AG10" s="788">
        <v>0.95</v>
      </c>
      <c r="AH10" s="787">
        <v>0</v>
      </c>
      <c r="AI10" s="789">
        <f t="shared" si="0"/>
        <v>2850000</v>
      </c>
    </row>
    <row r="11" spans="1:37">
      <c r="A11" s="445"/>
      <c r="B11" s="445"/>
      <c r="C11" s="445"/>
      <c r="D11" s="445"/>
      <c r="E11" s="784" t="s">
        <v>386</v>
      </c>
      <c r="F11" s="785" t="s">
        <v>196</v>
      </c>
      <c r="G11" s="786">
        <v>16000</v>
      </c>
      <c r="H11" s="787">
        <v>50000</v>
      </c>
      <c r="I11" s="786">
        <v>16000</v>
      </c>
      <c r="J11" s="787">
        <v>50000</v>
      </c>
      <c r="K11" s="786">
        <v>16000</v>
      </c>
      <c r="L11" s="787">
        <v>50000</v>
      </c>
      <c r="M11" s="786">
        <v>16000</v>
      </c>
      <c r="N11" s="787">
        <v>50000</v>
      </c>
      <c r="O11" s="786">
        <v>16000</v>
      </c>
      <c r="P11" s="787">
        <v>50000</v>
      </c>
      <c r="Q11" s="786">
        <v>16000</v>
      </c>
      <c r="R11" s="787">
        <v>50000</v>
      </c>
      <c r="S11" s="786">
        <v>16000</v>
      </c>
      <c r="T11" s="787">
        <v>50000</v>
      </c>
      <c r="U11" s="786">
        <v>16000</v>
      </c>
      <c r="V11" s="787">
        <v>50000</v>
      </c>
      <c r="W11" s="786">
        <v>16000</v>
      </c>
      <c r="X11" s="787">
        <v>50000</v>
      </c>
      <c r="Y11" s="786">
        <v>16000</v>
      </c>
      <c r="Z11" s="787">
        <v>50000</v>
      </c>
      <c r="AA11" s="786">
        <v>16000</v>
      </c>
      <c r="AB11" s="787">
        <v>50000</v>
      </c>
      <c r="AC11" s="786">
        <v>16000</v>
      </c>
      <c r="AD11" s="787">
        <v>50000</v>
      </c>
      <c r="AE11" s="786">
        <v>3000000</v>
      </c>
      <c r="AF11" s="786">
        <f t="shared" si="1"/>
        <v>600000</v>
      </c>
      <c r="AG11" s="788">
        <v>0.95</v>
      </c>
      <c r="AH11" s="787">
        <v>0</v>
      </c>
      <c r="AI11" s="789">
        <f t="shared" si="0"/>
        <v>2850000</v>
      </c>
    </row>
    <row r="12" spans="1:37">
      <c r="A12" s="445"/>
      <c r="B12" s="445"/>
      <c r="C12" s="445"/>
      <c r="D12" s="445"/>
      <c r="E12" s="784" t="s">
        <v>387</v>
      </c>
      <c r="F12" s="785" t="s">
        <v>196</v>
      </c>
      <c r="G12" s="786">
        <v>17000</v>
      </c>
      <c r="H12" s="787">
        <v>60000</v>
      </c>
      <c r="I12" s="786">
        <v>17000</v>
      </c>
      <c r="J12" s="787">
        <v>60000</v>
      </c>
      <c r="K12" s="786">
        <v>17000</v>
      </c>
      <c r="L12" s="787">
        <v>60000</v>
      </c>
      <c r="M12" s="786">
        <v>17000</v>
      </c>
      <c r="N12" s="787">
        <v>60000</v>
      </c>
      <c r="O12" s="786">
        <v>17000</v>
      </c>
      <c r="P12" s="787">
        <v>60000</v>
      </c>
      <c r="Q12" s="786">
        <v>17000</v>
      </c>
      <c r="R12" s="787">
        <v>60000</v>
      </c>
      <c r="S12" s="786">
        <v>17000</v>
      </c>
      <c r="T12" s="787">
        <v>60000</v>
      </c>
      <c r="U12" s="786">
        <v>17000</v>
      </c>
      <c r="V12" s="787">
        <v>60000</v>
      </c>
      <c r="W12" s="786">
        <v>17000</v>
      </c>
      <c r="X12" s="787">
        <v>60000</v>
      </c>
      <c r="Y12" s="786">
        <v>17000</v>
      </c>
      <c r="Z12" s="787">
        <v>60000</v>
      </c>
      <c r="AA12" s="786">
        <v>17000</v>
      </c>
      <c r="AB12" s="787">
        <v>60000</v>
      </c>
      <c r="AC12" s="786">
        <v>17000</v>
      </c>
      <c r="AD12" s="787">
        <v>60000</v>
      </c>
      <c r="AE12" s="786">
        <v>3000000</v>
      </c>
      <c r="AF12" s="786">
        <f t="shared" si="1"/>
        <v>720000</v>
      </c>
      <c r="AG12" s="788">
        <v>1.2</v>
      </c>
      <c r="AH12" s="787">
        <v>0</v>
      </c>
      <c r="AI12" s="789">
        <v>7967074.3534237519</v>
      </c>
      <c r="AK12" s="815"/>
    </row>
    <row r="13" spans="1:37">
      <c r="A13" s="445"/>
      <c r="B13" s="445"/>
      <c r="C13" s="445"/>
      <c r="D13" s="445"/>
      <c r="E13" s="784" t="s">
        <v>388</v>
      </c>
      <c r="F13" s="785" t="s">
        <v>196</v>
      </c>
      <c r="G13" s="786">
        <v>18000</v>
      </c>
      <c r="H13" s="787">
        <v>70000</v>
      </c>
      <c r="I13" s="786">
        <v>18000</v>
      </c>
      <c r="J13" s="787">
        <v>70000</v>
      </c>
      <c r="K13" s="786">
        <v>18000</v>
      </c>
      <c r="L13" s="787">
        <v>70000</v>
      </c>
      <c r="M13" s="786">
        <v>18000</v>
      </c>
      <c r="N13" s="787">
        <v>70000</v>
      </c>
      <c r="O13" s="786">
        <v>18000</v>
      </c>
      <c r="P13" s="787">
        <v>70000</v>
      </c>
      <c r="Q13" s="786">
        <v>18000</v>
      </c>
      <c r="R13" s="787">
        <v>70000</v>
      </c>
      <c r="S13" s="786">
        <v>18000</v>
      </c>
      <c r="T13" s="787">
        <v>70000</v>
      </c>
      <c r="U13" s="786">
        <v>18000</v>
      </c>
      <c r="V13" s="787">
        <v>70000</v>
      </c>
      <c r="W13" s="786">
        <v>18000</v>
      </c>
      <c r="X13" s="787">
        <v>70000</v>
      </c>
      <c r="Y13" s="786">
        <v>18000</v>
      </c>
      <c r="Z13" s="787">
        <v>70000</v>
      </c>
      <c r="AA13" s="786">
        <v>18000</v>
      </c>
      <c r="AB13" s="787">
        <v>70000</v>
      </c>
      <c r="AC13" s="786">
        <v>18000</v>
      </c>
      <c r="AD13" s="787">
        <v>70000</v>
      </c>
      <c r="AE13" s="786">
        <v>3000000</v>
      </c>
      <c r="AF13" s="786">
        <f t="shared" si="1"/>
        <v>840000</v>
      </c>
      <c r="AG13" s="788">
        <v>1.2</v>
      </c>
      <c r="AH13" s="787">
        <v>0</v>
      </c>
      <c r="AI13" s="789">
        <v>7967074.3534237519</v>
      </c>
      <c r="AK13" s="815"/>
    </row>
    <row r="14" spans="1:37">
      <c r="A14" s="445"/>
      <c r="B14" s="445"/>
      <c r="C14" s="445"/>
      <c r="D14" s="445"/>
      <c r="E14" s="784" t="s">
        <v>389</v>
      </c>
      <c r="F14" s="785" t="s">
        <v>196</v>
      </c>
      <c r="G14" s="786">
        <v>19000</v>
      </c>
      <c r="H14" s="787">
        <v>80000</v>
      </c>
      <c r="I14" s="786">
        <v>19000</v>
      </c>
      <c r="J14" s="787">
        <v>80000</v>
      </c>
      <c r="K14" s="786">
        <v>19000</v>
      </c>
      <c r="L14" s="787">
        <v>80000</v>
      </c>
      <c r="M14" s="786">
        <v>19000</v>
      </c>
      <c r="N14" s="787">
        <v>80000</v>
      </c>
      <c r="O14" s="786">
        <v>19000</v>
      </c>
      <c r="P14" s="787">
        <v>80000</v>
      </c>
      <c r="Q14" s="786">
        <v>19000</v>
      </c>
      <c r="R14" s="787">
        <v>80000</v>
      </c>
      <c r="S14" s="786">
        <v>19000</v>
      </c>
      <c r="T14" s="787">
        <v>80000</v>
      </c>
      <c r="U14" s="786">
        <v>19000</v>
      </c>
      <c r="V14" s="787">
        <v>80000</v>
      </c>
      <c r="W14" s="786">
        <v>19000</v>
      </c>
      <c r="X14" s="787">
        <v>80000</v>
      </c>
      <c r="Y14" s="786">
        <v>19000</v>
      </c>
      <c r="Z14" s="787">
        <v>80000</v>
      </c>
      <c r="AA14" s="786">
        <v>19000</v>
      </c>
      <c r="AB14" s="787">
        <v>80000</v>
      </c>
      <c r="AC14" s="786">
        <v>19000</v>
      </c>
      <c r="AD14" s="787">
        <v>80000</v>
      </c>
      <c r="AE14" s="786">
        <v>3000000</v>
      </c>
      <c r="AF14" s="786">
        <f t="shared" si="1"/>
        <v>960000</v>
      </c>
      <c r="AG14" s="788">
        <v>1.2</v>
      </c>
      <c r="AH14" s="787">
        <v>0</v>
      </c>
      <c r="AI14" s="789">
        <v>7967074.3534237519</v>
      </c>
      <c r="AK14" s="816"/>
    </row>
    <row r="15" spans="1:37">
      <c r="A15" s="445"/>
      <c r="B15" s="445"/>
      <c r="C15" s="445"/>
      <c r="D15" s="445"/>
      <c r="E15" s="784" t="s">
        <v>390</v>
      </c>
      <c r="F15" s="785" t="s">
        <v>196</v>
      </c>
      <c r="G15" s="786">
        <v>20000</v>
      </c>
      <c r="H15" s="787">
        <v>90000</v>
      </c>
      <c r="I15" s="786">
        <v>20000</v>
      </c>
      <c r="J15" s="787">
        <v>90000</v>
      </c>
      <c r="K15" s="786">
        <v>20000</v>
      </c>
      <c r="L15" s="787">
        <v>90000</v>
      </c>
      <c r="M15" s="786">
        <v>20000</v>
      </c>
      <c r="N15" s="787">
        <v>90000</v>
      </c>
      <c r="O15" s="786">
        <v>20000</v>
      </c>
      <c r="P15" s="787">
        <v>90000</v>
      </c>
      <c r="Q15" s="786">
        <v>20000</v>
      </c>
      <c r="R15" s="787">
        <v>90000</v>
      </c>
      <c r="S15" s="786">
        <v>20000</v>
      </c>
      <c r="T15" s="787">
        <v>90000</v>
      </c>
      <c r="U15" s="786">
        <v>20000</v>
      </c>
      <c r="V15" s="787">
        <v>90000</v>
      </c>
      <c r="W15" s="786">
        <v>20000</v>
      </c>
      <c r="X15" s="787">
        <v>90000</v>
      </c>
      <c r="Y15" s="786">
        <v>20000</v>
      </c>
      <c r="Z15" s="787">
        <v>90000</v>
      </c>
      <c r="AA15" s="786">
        <v>20000</v>
      </c>
      <c r="AB15" s="787">
        <v>90000</v>
      </c>
      <c r="AC15" s="786">
        <v>20000</v>
      </c>
      <c r="AD15" s="787">
        <v>90000</v>
      </c>
      <c r="AE15" s="786">
        <v>3000000</v>
      </c>
      <c r="AF15" s="786">
        <f t="shared" si="1"/>
        <v>1080000</v>
      </c>
      <c r="AG15" s="788">
        <v>1.2</v>
      </c>
      <c r="AH15" s="787">
        <v>0</v>
      </c>
      <c r="AI15" s="789">
        <v>7967074.3534237519</v>
      </c>
      <c r="AK15" s="816"/>
    </row>
    <row r="16" spans="1:37">
      <c r="A16" s="445"/>
      <c r="B16" s="445"/>
      <c r="C16" s="445"/>
      <c r="D16" s="445"/>
      <c r="E16" s="784" t="s">
        <v>391</v>
      </c>
      <c r="F16" s="785" t="s">
        <v>196</v>
      </c>
      <c r="G16" s="786">
        <v>21000</v>
      </c>
      <c r="H16" s="787">
        <v>100000</v>
      </c>
      <c r="I16" s="786">
        <v>21000</v>
      </c>
      <c r="J16" s="787">
        <v>100000</v>
      </c>
      <c r="K16" s="786">
        <v>21000</v>
      </c>
      <c r="L16" s="787">
        <v>100000</v>
      </c>
      <c r="M16" s="786">
        <v>21000</v>
      </c>
      <c r="N16" s="787">
        <v>100000</v>
      </c>
      <c r="O16" s="786">
        <v>21000</v>
      </c>
      <c r="P16" s="787">
        <v>100000</v>
      </c>
      <c r="Q16" s="786">
        <v>21000</v>
      </c>
      <c r="R16" s="787">
        <v>100000</v>
      </c>
      <c r="S16" s="786">
        <v>21000</v>
      </c>
      <c r="T16" s="787">
        <v>100000</v>
      </c>
      <c r="U16" s="786">
        <v>21000</v>
      </c>
      <c r="V16" s="787">
        <v>100000</v>
      </c>
      <c r="W16" s="786">
        <v>21000</v>
      </c>
      <c r="X16" s="787">
        <v>100000</v>
      </c>
      <c r="Y16" s="786">
        <v>21000</v>
      </c>
      <c r="Z16" s="787">
        <v>100000</v>
      </c>
      <c r="AA16" s="786">
        <v>21000</v>
      </c>
      <c r="AB16" s="787">
        <v>100000</v>
      </c>
      <c r="AC16" s="786">
        <v>21000</v>
      </c>
      <c r="AD16" s="787">
        <v>100000</v>
      </c>
      <c r="AE16" s="786">
        <v>3000000</v>
      </c>
      <c r="AF16" s="786">
        <f t="shared" si="1"/>
        <v>1200000</v>
      </c>
      <c r="AG16" s="788">
        <v>1.2</v>
      </c>
      <c r="AH16" s="787">
        <v>0</v>
      </c>
      <c r="AI16" s="789">
        <v>7967074.3534237519</v>
      </c>
    </row>
    <row r="17" spans="1:35">
      <c r="A17" s="445"/>
      <c r="B17" s="445"/>
      <c r="C17" s="445"/>
      <c r="D17" s="445"/>
      <c r="E17" s="784" t="s">
        <v>392</v>
      </c>
      <c r="F17" s="785" t="s">
        <v>168</v>
      </c>
      <c r="G17" s="786">
        <v>22000</v>
      </c>
      <c r="H17" s="787">
        <v>110000</v>
      </c>
      <c r="I17" s="786">
        <v>22000</v>
      </c>
      <c r="J17" s="787">
        <v>110000</v>
      </c>
      <c r="K17" s="786">
        <v>22000</v>
      </c>
      <c r="L17" s="787">
        <v>110000</v>
      </c>
      <c r="M17" s="786">
        <v>22000</v>
      </c>
      <c r="N17" s="787">
        <v>110000</v>
      </c>
      <c r="O17" s="786">
        <v>22000</v>
      </c>
      <c r="P17" s="787">
        <v>110000</v>
      </c>
      <c r="Q17" s="786">
        <v>22000</v>
      </c>
      <c r="R17" s="787">
        <v>110000</v>
      </c>
      <c r="S17" s="786">
        <v>22000</v>
      </c>
      <c r="T17" s="787">
        <v>110000</v>
      </c>
      <c r="U17" s="786">
        <v>22000</v>
      </c>
      <c r="V17" s="787">
        <v>110000</v>
      </c>
      <c r="W17" s="786">
        <v>22000</v>
      </c>
      <c r="X17" s="787">
        <v>110000</v>
      </c>
      <c r="Y17" s="786">
        <v>22000</v>
      </c>
      <c r="Z17" s="787">
        <v>110000</v>
      </c>
      <c r="AA17" s="786">
        <v>22000</v>
      </c>
      <c r="AB17" s="787">
        <v>110000</v>
      </c>
      <c r="AC17" s="786">
        <v>22000</v>
      </c>
      <c r="AD17" s="787">
        <v>110000</v>
      </c>
      <c r="AE17" s="786">
        <v>3000000</v>
      </c>
      <c r="AF17" s="786">
        <f t="shared" si="1"/>
        <v>1320000</v>
      </c>
      <c r="AG17" s="790">
        <v>0.04</v>
      </c>
      <c r="AH17" s="787">
        <v>1</v>
      </c>
      <c r="AI17" s="789">
        <f t="shared" si="0"/>
        <v>52800</v>
      </c>
    </row>
    <row r="18" spans="1:35">
      <c r="A18" s="445"/>
      <c r="B18" s="445"/>
      <c r="C18" s="445"/>
      <c r="D18" s="445"/>
      <c r="E18" s="784" t="s">
        <v>393</v>
      </c>
      <c r="F18" s="785" t="s">
        <v>168</v>
      </c>
      <c r="G18" s="786">
        <v>23000</v>
      </c>
      <c r="H18" s="787">
        <v>120000</v>
      </c>
      <c r="I18" s="786">
        <v>23000</v>
      </c>
      <c r="J18" s="787">
        <v>120000</v>
      </c>
      <c r="K18" s="786">
        <v>23000</v>
      </c>
      <c r="L18" s="787">
        <v>120000</v>
      </c>
      <c r="M18" s="786">
        <v>23000</v>
      </c>
      <c r="N18" s="787">
        <v>120000</v>
      </c>
      <c r="O18" s="786">
        <v>23000</v>
      </c>
      <c r="P18" s="787">
        <v>120000</v>
      </c>
      <c r="Q18" s="786">
        <v>23000</v>
      </c>
      <c r="R18" s="787">
        <v>120000</v>
      </c>
      <c r="S18" s="786">
        <v>23000</v>
      </c>
      <c r="T18" s="787">
        <v>120000</v>
      </c>
      <c r="U18" s="786">
        <v>23000</v>
      </c>
      <c r="V18" s="787">
        <v>120000</v>
      </c>
      <c r="W18" s="786">
        <v>23000</v>
      </c>
      <c r="X18" s="787">
        <v>120000</v>
      </c>
      <c r="Y18" s="786">
        <v>23000</v>
      </c>
      <c r="Z18" s="787">
        <v>120000</v>
      </c>
      <c r="AA18" s="786">
        <v>23000</v>
      </c>
      <c r="AB18" s="787">
        <v>120000</v>
      </c>
      <c r="AC18" s="786">
        <v>23000</v>
      </c>
      <c r="AD18" s="787">
        <v>120000</v>
      </c>
      <c r="AE18" s="786">
        <v>3000000</v>
      </c>
      <c r="AF18" s="786">
        <f t="shared" si="1"/>
        <v>1440000</v>
      </c>
      <c r="AG18" s="790">
        <v>0.04</v>
      </c>
      <c r="AH18" s="787">
        <v>1</v>
      </c>
      <c r="AI18" s="789">
        <f t="shared" si="0"/>
        <v>57600</v>
      </c>
    </row>
    <row r="19" spans="1:35" ht="15.75" thickBot="1">
      <c r="A19" s="445"/>
      <c r="B19" s="445"/>
      <c r="C19" s="445"/>
      <c r="D19" s="445"/>
      <c r="E19" s="791" t="s">
        <v>394</v>
      </c>
      <c r="F19" s="792" t="s">
        <v>168</v>
      </c>
      <c r="G19" s="793">
        <v>24000</v>
      </c>
      <c r="H19" s="794">
        <v>130000</v>
      </c>
      <c r="I19" s="793">
        <v>24000</v>
      </c>
      <c r="J19" s="794">
        <v>130000</v>
      </c>
      <c r="K19" s="793">
        <v>24000</v>
      </c>
      <c r="L19" s="794">
        <v>130000</v>
      </c>
      <c r="M19" s="793">
        <v>24000</v>
      </c>
      <c r="N19" s="794">
        <v>130000</v>
      </c>
      <c r="O19" s="793">
        <v>24000</v>
      </c>
      <c r="P19" s="794">
        <v>130000</v>
      </c>
      <c r="Q19" s="793">
        <v>24000</v>
      </c>
      <c r="R19" s="794">
        <v>130000</v>
      </c>
      <c r="S19" s="793">
        <v>24000</v>
      </c>
      <c r="T19" s="794">
        <v>130000</v>
      </c>
      <c r="U19" s="793">
        <v>24000</v>
      </c>
      <c r="V19" s="794">
        <v>130000</v>
      </c>
      <c r="W19" s="793">
        <v>24000</v>
      </c>
      <c r="X19" s="794">
        <v>130000</v>
      </c>
      <c r="Y19" s="793">
        <v>24000</v>
      </c>
      <c r="Z19" s="794">
        <v>130000</v>
      </c>
      <c r="AA19" s="793">
        <v>24000</v>
      </c>
      <c r="AB19" s="794">
        <v>130000</v>
      </c>
      <c r="AC19" s="793">
        <v>24000</v>
      </c>
      <c r="AD19" s="794">
        <v>130000</v>
      </c>
      <c r="AE19" s="793">
        <v>3000000</v>
      </c>
      <c r="AF19" s="793">
        <f t="shared" si="1"/>
        <v>1560000</v>
      </c>
      <c r="AG19" s="795">
        <v>0.04</v>
      </c>
      <c r="AH19" s="794">
        <v>1</v>
      </c>
      <c r="AI19" s="796">
        <f t="shared" si="0"/>
        <v>62400</v>
      </c>
    </row>
    <row r="20" spans="1:35">
      <c r="A20" s="392"/>
      <c r="B20" s="392"/>
      <c r="C20" s="392"/>
      <c r="D20" s="392"/>
      <c r="E20" s="122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H20" s="643"/>
      <c r="AI20" s="49"/>
    </row>
  </sheetData>
  <mergeCells count="18">
    <mergeCell ref="G4:L4"/>
    <mergeCell ref="M4:AD4"/>
    <mergeCell ref="Y5:Z5"/>
    <mergeCell ref="AA5:AB5"/>
    <mergeCell ref="AC5:AD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AI4:AI5"/>
    <mergeCell ref="AE4:AE5"/>
    <mergeCell ref="AF4:AF5"/>
    <mergeCell ref="AG4:AG5"/>
  </mergeCells>
  <pageMargins left="0.7" right="0.7" top="0.75" bottom="0.75" header="0.3" footer="0.3"/>
  <pageSetup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>
      <selection activeCell="D20" sqref="D20"/>
    </sheetView>
  </sheetViews>
  <sheetFormatPr baseColWidth="10" defaultColWidth="10.85546875" defaultRowHeight="15"/>
  <cols>
    <col min="1" max="1" width="10.85546875" style="12"/>
    <col min="2" max="2" width="19.42578125" style="12" customWidth="1"/>
    <col min="3" max="3" width="18.85546875" style="12" customWidth="1"/>
    <col min="4" max="7" width="10.85546875" style="12"/>
    <col min="8" max="8" width="16.140625" style="12" customWidth="1"/>
    <col min="9" max="16384" width="10.85546875" style="12"/>
  </cols>
  <sheetData>
    <row r="1" spans="2:9">
      <c r="B1" s="129" t="s">
        <v>197</v>
      </c>
      <c r="C1" s="12" t="str">
        <f>UPPER(B1)</f>
        <v>AGENCIAS</v>
      </c>
      <c r="D1" s="12">
        <v>1</v>
      </c>
      <c r="H1" s="12" t="s">
        <v>85</v>
      </c>
      <c r="I1" s="12">
        <v>1</v>
      </c>
    </row>
    <row r="2" spans="2:9">
      <c r="B2" s="130" t="s">
        <v>194</v>
      </c>
      <c r="C2" s="12" t="str">
        <f t="shared" ref="C2:C38" si="0">UPPER(B2)</f>
        <v>AMEX</v>
      </c>
      <c r="D2" s="12">
        <v>2</v>
      </c>
      <c r="H2" s="12" t="s">
        <v>168</v>
      </c>
      <c r="I2" s="12">
        <v>2</v>
      </c>
    </row>
    <row r="3" spans="2:9">
      <c r="B3" s="129" t="s">
        <v>198</v>
      </c>
      <c r="C3" s="12" t="str">
        <f t="shared" si="0"/>
        <v>BANCOS</v>
      </c>
      <c r="D3" s="12">
        <v>3</v>
      </c>
      <c r="H3" s="12" t="s">
        <v>167</v>
      </c>
      <c r="I3" s="12">
        <v>3</v>
      </c>
    </row>
    <row r="4" spans="2:9">
      <c r="B4" s="131" t="s">
        <v>188</v>
      </c>
      <c r="C4" s="12" t="str">
        <f t="shared" si="0"/>
        <v>BBVA</v>
      </c>
      <c r="D4" s="12">
        <v>4</v>
      </c>
      <c r="H4" s="12" t="s">
        <v>87</v>
      </c>
      <c r="I4" s="12">
        <v>4</v>
      </c>
    </row>
    <row r="5" spans="2:9">
      <c r="B5" s="131" t="s">
        <v>108</v>
      </c>
      <c r="C5" s="12" t="str">
        <f t="shared" si="0"/>
        <v>BCP</v>
      </c>
      <c r="D5" s="12">
        <v>5</v>
      </c>
      <c r="H5" s="12" t="s">
        <v>89</v>
      </c>
      <c r="I5" s="12">
        <v>5</v>
      </c>
    </row>
    <row r="6" spans="2:9">
      <c r="B6" s="130" t="s">
        <v>109</v>
      </c>
      <c r="C6" s="12" t="str">
        <f t="shared" si="0"/>
        <v>BIF</v>
      </c>
      <c r="D6" s="12">
        <v>6</v>
      </c>
      <c r="H6" s="12" t="s">
        <v>169</v>
      </c>
      <c r="I6" s="12">
        <v>6</v>
      </c>
    </row>
    <row r="7" spans="2:9">
      <c r="B7" s="131" t="s">
        <v>189</v>
      </c>
      <c r="C7" s="12" t="str">
        <f t="shared" si="0"/>
        <v>BN</v>
      </c>
      <c r="D7" s="12">
        <v>7</v>
      </c>
      <c r="H7" s="12" t="s">
        <v>73</v>
      </c>
      <c r="I7" s="12">
        <v>7</v>
      </c>
    </row>
    <row r="8" spans="2:9">
      <c r="B8" s="130" t="s">
        <v>193</v>
      </c>
      <c r="C8" s="12" t="str">
        <f t="shared" si="0"/>
        <v>CAJA AREQUIPA</v>
      </c>
      <c r="D8" s="12">
        <v>8</v>
      </c>
      <c r="H8" s="12" t="s">
        <v>88</v>
      </c>
      <c r="I8" s="12">
        <v>8</v>
      </c>
    </row>
    <row r="9" spans="2:9">
      <c r="B9" s="130" t="s">
        <v>192</v>
      </c>
      <c r="C9" s="12" t="str">
        <f t="shared" si="0"/>
        <v>CAJA TRUJILLO</v>
      </c>
      <c r="D9" s="12">
        <v>9</v>
      </c>
    </row>
    <row r="10" spans="2:9">
      <c r="B10" s="129" t="s">
        <v>90</v>
      </c>
      <c r="C10" s="12" t="str">
        <f t="shared" si="0"/>
        <v>CAVS</v>
      </c>
      <c r="D10" s="12">
        <v>10</v>
      </c>
    </row>
    <row r="11" spans="2:9">
      <c r="B11" s="132" t="s">
        <v>78</v>
      </c>
      <c r="C11" s="12" t="str">
        <f t="shared" si="0"/>
        <v>CELLPOWER</v>
      </c>
      <c r="D11" s="12">
        <v>11</v>
      </c>
    </row>
    <row r="12" spans="2:9">
      <c r="B12" s="133" t="s">
        <v>177</v>
      </c>
      <c r="C12" s="12" t="str">
        <f t="shared" si="0"/>
        <v>CENCOSUD</v>
      </c>
      <c r="D12" s="12">
        <v>12</v>
      </c>
    </row>
    <row r="13" spans="2:9">
      <c r="B13" s="134" t="s">
        <v>170</v>
      </c>
      <c r="C13" s="12" t="str">
        <f t="shared" si="0"/>
        <v>CENTROS DE COBRO</v>
      </c>
      <c r="D13" s="12">
        <v>13</v>
      </c>
    </row>
    <row r="14" spans="2:9">
      <c r="B14" s="135" t="s">
        <v>82</v>
      </c>
      <c r="C14" s="12" t="str">
        <f t="shared" si="0"/>
        <v>CMR</v>
      </c>
      <c r="D14" s="12">
        <v>14</v>
      </c>
    </row>
    <row r="15" spans="2:9">
      <c r="B15" s="134" t="s">
        <v>183</v>
      </c>
      <c r="C15" s="12" t="str">
        <f t="shared" si="0"/>
        <v>CONTACTO SATELITAL</v>
      </c>
      <c r="D15" s="12">
        <v>15</v>
      </c>
    </row>
    <row r="16" spans="2:9">
      <c r="B16" s="135" t="s">
        <v>199</v>
      </c>
      <c r="C16" s="12" t="str">
        <f t="shared" si="0"/>
        <v>DINERS</v>
      </c>
      <c r="D16" s="12">
        <v>16</v>
      </c>
    </row>
    <row r="17" spans="2:4">
      <c r="B17" s="134" t="s">
        <v>179</v>
      </c>
      <c r="C17" s="12" t="str">
        <f t="shared" si="0"/>
        <v>EDELNOR</v>
      </c>
      <c r="D17" s="12">
        <v>17</v>
      </c>
    </row>
    <row r="18" spans="2:4">
      <c r="B18" s="135" t="s">
        <v>191</v>
      </c>
      <c r="C18" s="12" t="str">
        <f t="shared" si="0"/>
        <v>FALABELLA</v>
      </c>
      <c r="D18" s="12">
        <v>18</v>
      </c>
    </row>
    <row r="19" spans="2:4">
      <c r="B19" s="136" t="s">
        <v>80</v>
      </c>
      <c r="C19" s="12" t="str">
        <f t="shared" si="0"/>
        <v>FASA</v>
      </c>
      <c r="D19" s="12">
        <v>19</v>
      </c>
    </row>
    <row r="20" spans="2:4">
      <c r="B20" s="135" t="s">
        <v>190</v>
      </c>
      <c r="C20" s="12" t="str">
        <f t="shared" si="0"/>
        <v>FINANCIERO</v>
      </c>
      <c r="D20" s="12">
        <v>20</v>
      </c>
    </row>
    <row r="21" spans="2:4">
      <c r="B21" s="134" t="s">
        <v>171</v>
      </c>
      <c r="C21" s="12" t="str">
        <f t="shared" si="0"/>
        <v>FRANQUICIAS</v>
      </c>
      <c r="D21" s="12">
        <v>21</v>
      </c>
    </row>
    <row r="22" spans="2:4">
      <c r="B22" s="136" t="s">
        <v>79</v>
      </c>
      <c r="C22" s="12" t="str">
        <f t="shared" si="0"/>
        <v>FULLCARGA</v>
      </c>
      <c r="D22" s="12">
        <v>22</v>
      </c>
    </row>
    <row r="23" spans="2:4">
      <c r="B23" s="136" t="s">
        <v>77</v>
      </c>
      <c r="C23" s="12" t="str">
        <f t="shared" si="0"/>
        <v>HERMES</v>
      </c>
      <c r="D23" s="12">
        <v>23</v>
      </c>
    </row>
    <row r="24" spans="2:4">
      <c r="B24" s="134" t="s">
        <v>180</v>
      </c>
      <c r="C24" s="12" t="str">
        <f t="shared" si="0"/>
        <v>HIDRANDINA</v>
      </c>
      <c r="D24" s="12">
        <v>24</v>
      </c>
    </row>
    <row r="25" spans="2:4">
      <c r="B25" s="136" t="s">
        <v>186</v>
      </c>
      <c r="C25" s="12" t="str">
        <f t="shared" si="0"/>
        <v>INTERBANK</v>
      </c>
      <c r="D25" s="12">
        <v>25</v>
      </c>
    </row>
    <row r="26" spans="2:4">
      <c r="B26" s="133" t="s">
        <v>200</v>
      </c>
      <c r="C26" s="12" t="str">
        <f t="shared" si="0"/>
        <v>JETPERU</v>
      </c>
      <c r="D26" s="12">
        <v>26</v>
      </c>
    </row>
    <row r="27" spans="2:4">
      <c r="B27" s="134" t="s">
        <v>173</v>
      </c>
      <c r="C27" s="12" t="str">
        <f t="shared" si="0"/>
        <v>L&amp;M BUSINESS</v>
      </c>
      <c r="D27" s="12">
        <v>27</v>
      </c>
    </row>
    <row r="28" spans="2:4">
      <c r="B28" s="129" t="s">
        <v>184</v>
      </c>
      <c r="C28" s="12" t="str">
        <f t="shared" si="0"/>
        <v>LIDERES EN SERVICIO</v>
      </c>
      <c r="D28" s="12">
        <v>28</v>
      </c>
    </row>
    <row r="29" spans="2:4">
      <c r="B29" s="129" t="s">
        <v>178</v>
      </c>
      <c r="C29" s="12" t="str">
        <f t="shared" si="0"/>
        <v>LUZ DEL SUR</v>
      </c>
      <c r="D29" s="12">
        <v>29</v>
      </c>
    </row>
    <row r="30" spans="2:4">
      <c r="B30" s="130" t="s">
        <v>81</v>
      </c>
      <c r="C30" s="12" t="str">
        <f t="shared" si="0"/>
        <v>MASTERCARD</v>
      </c>
      <c r="D30" s="12">
        <v>30</v>
      </c>
    </row>
    <row r="31" spans="2:4">
      <c r="B31" s="129" t="s">
        <v>74</v>
      </c>
      <c r="C31" s="12" t="str">
        <f t="shared" si="0"/>
        <v>MPAY</v>
      </c>
      <c r="D31" s="12">
        <v>31</v>
      </c>
    </row>
    <row r="32" spans="2:4">
      <c r="B32" s="129" t="s">
        <v>172</v>
      </c>
      <c r="C32" s="12" t="str">
        <f t="shared" si="0"/>
        <v>MULTICENTROS</v>
      </c>
      <c r="D32" s="12">
        <v>32</v>
      </c>
    </row>
    <row r="33" spans="2:4">
      <c r="B33" s="129" t="s">
        <v>16</v>
      </c>
      <c r="C33" s="12" t="str">
        <f t="shared" si="0"/>
        <v>OPERADOR</v>
      </c>
      <c r="D33" s="12">
        <v>33</v>
      </c>
    </row>
    <row r="34" spans="2:4">
      <c r="B34" s="129" t="s">
        <v>185</v>
      </c>
      <c r="C34" s="12" t="str">
        <f t="shared" si="0"/>
        <v>PROSEGUR</v>
      </c>
      <c r="D34" s="12">
        <v>34</v>
      </c>
    </row>
    <row r="35" spans="2:4">
      <c r="B35" s="131" t="s">
        <v>76</v>
      </c>
      <c r="C35" s="12" t="str">
        <f t="shared" si="0"/>
        <v>QIWI</v>
      </c>
      <c r="D35" s="12">
        <v>35</v>
      </c>
    </row>
    <row r="36" spans="2:4">
      <c r="B36" s="132" t="s">
        <v>187</v>
      </c>
      <c r="C36" s="12" t="str">
        <f t="shared" si="0"/>
        <v>SCOTIABANK</v>
      </c>
      <c r="D36" s="12">
        <v>36</v>
      </c>
    </row>
    <row r="37" spans="2:4">
      <c r="B37" s="130" t="s">
        <v>83</v>
      </c>
      <c r="C37" s="12" t="str">
        <f t="shared" si="0"/>
        <v>VISANET</v>
      </c>
      <c r="D37" s="12">
        <v>37</v>
      </c>
    </row>
    <row r="38" spans="2:4">
      <c r="B38" s="137" t="s">
        <v>75</v>
      </c>
      <c r="C38" s="12" t="str">
        <f t="shared" si="0"/>
        <v>WESTERN UNION</v>
      </c>
      <c r="D38" s="12">
        <v>38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10"/>
  <sheetViews>
    <sheetView topLeftCell="A75" zoomScale="90" zoomScaleNormal="90" zoomScalePageLayoutView="90" workbookViewId="0">
      <selection activeCell="D20" sqref="D20"/>
    </sheetView>
  </sheetViews>
  <sheetFormatPr baseColWidth="10" defaultColWidth="10.85546875" defaultRowHeight="14.25"/>
  <cols>
    <col min="1" max="1" width="2.42578125" style="127" customWidth="1"/>
    <col min="2" max="2" width="2.42578125" style="127" bestFit="1" customWidth="1"/>
    <col min="3" max="3" width="3" style="127" bestFit="1" customWidth="1"/>
    <col min="4" max="4" width="2" style="127" bestFit="1" customWidth="1"/>
    <col min="5" max="5" width="8.28515625" style="127" bestFit="1" customWidth="1"/>
    <col min="6" max="6" width="20.42578125" style="197" customWidth="1"/>
    <col min="7" max="7" width="20" style="140" customWidth="1"/>
    <col min="8" max="8" width="17.85546875" style="140" customWidth="1"/>
    <col min="9" max="9" width="36.28515625" style="140" bestFit="1" customWidth="1"/>
    <col min="10" max="10" width="15.42578125" style="127" customWidth="1"/>
    <col min="11" max="12" width="14.85546875" style="127" customWidth="1"/>
    <col min="13" max="13" width="9.85546875" style="207" bestFit="1" customWidth="1"/>
    <col min="14" max="14" width="7.7109375" style="127" bestFit="1" customWidth="1"/>
    <col min="15" max="15" width="8.28515625" style="127" bestFit="1" customWidth="1"/>
    <col min="16" max="16" width="9.42578125" style="127" bestFit="1" customWidth="1"/>
    <col min="17" max="17" width="8" style="207" bestFit="1" customWidth="1"/>
    <col min="18" max="19" width="8" style="207" customWidth="1"/>
    <col min="20" max="21" width="8" style="127" customWidth="1"/>
    <col min="22" max="30" width="15.42578125" style="127" customWidth="1"/>
    <col min="31" max="31" width="18.85546875" style="127" bestFit="1" customWidth="1"/>
    <col min="32" max="32" width="25.28515625" style="127" customWidth="1"/>
    <col min="33" max="33" width="7.7109375" style="141" customWidth="1"/>
    <col min="34" max="34" width="18.42578125" style="127" bestFit="1" customWidth="1"/>
    <col min="35" max="35" width="10.85546875" style="127"/>
    <col min="36" max="36" width="19.28515625" style="127" customWidth="1"/>
    <col min="37" max="39" width="10.85546875" style="127"/>
    <col min="40" max="41" width="17.140625" style="127" bestFit="1" customWidth="1"/>
    <col min="42" max="16384" width="10.85546875" style="127"/>
  </cols>
  <sheetData>
    <row r="2" spans="2:34" ht="18">
      <c r="F2" s="138" t="s">
        <v>201</v>
      </c>
      <c r="G2" s="139"/>
    </row>
    <row r="3" spans="2:34" ht="18">
      <c r="F3" s="142" t="s">
        <v>202</v>
      </c>
      <c r="G3" s="139"/>
    </row>
    <row r="5" spans="2:34" ht="15">
      <c r="F5" s="143" t="s">
        <v>203</v>
      </c>
      <c r="G5" s="144"/>
      <c r="H5" s="144"/>
      <c r="I5" s="144"/>
      <c r="J5" s="144"/>
      <c r="K5" s="144"/>
      <c r="M5" s="207">
        <f>AVERAGE(M7:M106)</f>
        <v>1.1967840069534985</v>
      </c>
      <c r="N5" s="207">
        <f t="shared" ref="N5:S5" si="0">AVERAGE(N7:N106)</f>
        <v>1.3403954802259888</v>
      </c>
      <c r="O5" s="207">
        <f t="shared" si="0"/>
        <v>3.3642857142857148E-2</v>
      </c>
      <c r="P5" s="207">
        <f t="shared" si="0"/>
        <v>3.2500000000000001E-2</v>
      </c>
      <c r="Q5" s="207">
        <f t="shared" si="0"/>
        <v>0.8917675544794188</v>
      </c>
      <c r="R5" s="207">
        <f t="shared" si="0"/>
        <v>1.8</v>
      </c>
      <c r="S5" s="207">
        <f t="shared" si="0"/>
        <v>0.58686440677966101</v>
      </c>
      <c r="T5" s="145"/>
      <c r="U5" s="145"/>
    </row>
    <row r="6" spans="2:34" ht="89.25">
      <c r="B6" s="147" t="s">
        <v>162</v>
      </c>
      <c r="C6" s="147"/>
      <c r="D6" s="147"/>
      <c r="E6" s="147" t="s">
        <v>204</v>
      </c>
      <c r="F6" s="148" t="s">
        <v>205</v>
      </c>
      <c r="G6" s="148" t="s">
        <v>206</v>
      </c>
      <c r="H6" s="148" t="s">
        <v>207</v>
      </c>
      <c r="I6" s="148" t="s">
        <v>208</v>
      </c>
      <c r="J6" s="148" t="s">
        <v>209</v>
      </c>
      <c r="K6" s="148" t="s">
        <v>210</v>
      </c>
      <c r="M6" s="207" t="s">
        <v>73</v>
      </c>
      <c r="N6" s="127" t="s">
        <v>85</v>
      </c>
      <c r="O6" s="127" t="s">
        <v>167</v>
      </c>
      <c r="P6" s="127" t="s">
        <v>168</v>
      </c>
      <c r="Q6" s="207" t="s">
        <v>87</v>
      </c>
      <c r="R6" s="207" t="s">
        <v>211</v>
      </c>
      <c r="S6" s="207" t="s">
        <v>89</v>
      </c>
      <c r="AG6" s="127"/>
      <c r="AH6" s="141"/>
    </row>
    <row r="7" spans="2:34" s="155" customFormat="1">
      <c r="B7" s="149">
        <v>1</v>
      </c>
      <c r="C7" s="150">
        <f>VLOOKUP(F7,Entidad_Pago,2,1)</f>
        <v>33</v>
      </c>
      <c r="D7" s="150">
        <f>VLOOKUP(I7,Modalidad_Pago,2,1)</f>
        <v>7</v>
      </c>
      <c r="E7" s="150" t="str">
        <f t="shared" ref="E7:E9" si="1">CONCATENATE(B7,C7,D7)</f>
        <v>1337</v>
      </c>
      <c r="F7" s="151" t="s">
        <v>16</v>
      </c>
      <c r="G7" s="152" t="s">
        <v>212</v>
      </c>
      <c r="H7" s="151" t="s">
        <v>66</v>
      </c>
      <c r="I7" s="151" t="s">
        <v>73</v>
      </c>
      <c r="J7" s="153">
        <f t="shared" ref="J7:J9" si="2">IF(I7="Ventanilla",$M$5,IF(I7="Agente",$N$5,IF(I7="Crédito",$P$5,IF(I7="Débito",$O$5,IF(I7="Internet",$Q$5,IF(I7="Todos los Canales",$R$5,$S$5))))))</f>
        <v>1.1967840069534985</v>
      </c>
      <c r="K7" s="154"/>
      <c r="M7" s="208"/>
      <c r="N7" s="156"/>
      <c r="O7" s="156"/>
      <c r="Q7" s="208"/>
      <c r="R7" s="208"/>
      <c r="S7" s="208"/>
      <c r="AH7" s="157"/>
    </row>
    <row r="8" spans="2:34" s="155" customFormat="1">
      <c r="B8" s="149">
        <v>1</v>
      </c>
      <c r="C8" s="150">
        <f>VLOOKUP(F8,Entidad_Pago,2,1)</f>
        <v>33</v>
      </c>
      <c r="D8" s="150">
        <f>VLOOKUP(I8,Modalidad_Pago,2,1)</f>
        <v>4</v>
      </c>
      <c r="E8" s="150" t="str">
        <f t="shared" si="1"/>
        <v>1334</v>
      </c>
      <c r="F8" s="151" t="s">
        <v>16</v>
      </c>
      <c r="G8" s="152" t="s">
        <v>212</v>
      </c>
      <c r="H8" s="151" t="s">
        <v>66</v>
      </c>
      <c r="I8" s="151" t="s">
        <v>87</v>
      </c>
      <c r="J8" s="153">
        <f t="shared" si="2"/>
        <v>0.8917675544794188</v>
      </c>
      <c r="K8" s="154"/>
      <c r="M8" s="208"/>
      <c r="N8" s="156"/>
      <c r="O8" s="156"/>
      <c r="Q8" s="208"/>
      <c r="R8" s="208"/>
      <c r="S8" s="208"/>
      <c r="AH8" s="157"/>
    </row>
    <row r="9" spans="2:34" s="155" customFormat="1">
      <c r="B9" s="149">
        <v>1</v>
      </c>
      <c r="C9" s="150">
        <f>VLOOKUP(F9,Entidad_Pago,2,1)</f>
        <v>33</v>
      </c>
      <c r="D9" s="150">
        <f>VLOOKUP(I9,Modalidad_Pago,2,1)</f>
        <v>1</v>
      </c>
      <c r="E9" s="150" t="str">
        <f t="shared" si="1"/>
        <v>1331</v>
      </c>
      <c r="F9" s="151" t="s">
        <v>16</v>
      </c>
      <c r="G9" s="152" t="s">
        <v>212</v>
      </c>
      <c r="H9" s="151" t="s">
        <v>66</v>
      </c>
      <c r="I9" s="151" t="s">
        <v>91</v>
      </c>
      <c r="J9" s="153">
        <f t="shared" si="2"/>
        <v>0.58686440677966101</v>
      </c>
      <c r="K9" s="154"/>
      <c r="M9" s="208"/>
      <c r="N9" s="156"/>
      <c r="O9" s="156"/>
      <c r="Q9" s="208"/>
      <c r="R9" s="208"/>
      <c r="S9" s="208"/>
      <c r="AH9" s="157"/>
    </row>
    <row r="10" spans="2:34" s="155" customFormat="1">
      <c r="B10" s="149">
        <v>1</v>
      </c>
      <c r="C10" s="150">
        <f>VLOOKUP(F10,Entidad_Pago,2,1)</f>
        <v>2</v>
      </c>
      <c r="D10" s="150">
        <f>VLOOKUP(I10,Modalidad_Pago,2,1)</f>
        <v>3</v>
      </c>
      <c r="E10" s="150" t="str">
        <f>CONCATENATE(B10,C10,D10)</f>
        <v>123</v>
      </c>
      <c r="F10" s="151" t="s">
        <v>194</v>
      </c>
      <c r="G10" s="151" t="s">
        <v>213</v>
      </c>
      <c r="H10" s="151" t="s">
        <v>66</v>
      </c>
      <c r="I10" s="154" t="s">
        <v>167</v>
      </c>
      <c r="J10" s="158">
        <v>3.5000000000000003E-2</v>
      </c>
      <c r="K10" s="154" t="s">
        <v>214</v>
      </c>
      <c r="M10" s="208" t="str">
        <f>IF(I10="Ventanilla",J10,"")</f>
        <v/>
      </c>
      <c r="N10" s="156" t="str">
        <f>IF(I10="Agente",J10,"")</f>
        <v/>
      </c>
      <c r="O10" s="156">
        <f>IF(I10="Débito",J10,"")</f>
        <v>3.5000000000000003E-2</v>
      </c>
      <c r="P10" s="155" t="str">
        <f>IF(I10="Crédito",J10,"")</f>
        <v/>
      </c>
      <c r="Q10" s="208" t="str">
        <f>IF(I10="Internet",J10,"")</f>
        <v/>
      </c>
      <c r="R10" s="208" t="str">
        <f>IF(I10="Todos los Canales",J10,"")</f>
        <v/>
      </c>
      <c r="S10" s="208" t="str">
        <f>IF(I10="POS",J10,"")</f>
        <v/>
      </c>
      <c r="AH10" s="157"/>
    </row>
    <row r="11" spans="2:34" s="155" customFormat="1">
      <c r="B11" s="149">
        <v>1</v>
      </c>
      <c r="C11" s="159">
        <f t="shared" ref="C11:C41" si="3">VLOOKUP(F11,Entidad_Pago,2,1)</f>
        <v>4</v>
      </c>
      <c r="D11" s="150">
        <f t="shared" ref="D11:D41" si="4">VLOOKUP(I11,Modalidad_Pago,2,1)</f>
        <v>3</v>
      </c>
      <c r="E11" s="150" t="str">
        <f t="shared" ref="E11:E76" si="5">CONCATENATE(B11,C11,D11)</f>
        <v>143</v>
      </c>
      <c r="F11" s="150" t="s">
        <v>188</v>
      </c>
      <c r="G11" s="150" t="s">
        <v>215</v>
      </c>
      <c r="H11" s="150" t="s">
        <v>66</v>
      </c>
      <c r="I11" s="149" t="s">
        <v>167</v>
      </c>
      <c r="J11" s="160">
        <v>2</v>
      </c>
      <c r="K11" s="149" t="s">
        <v>216</v>
      </c>
      <c r="M11" s="208" t="str">
        <f t="shared" ref="M11:M76" si="6">IF(I11="Ventanilla",J11,"")</f>
        <v/>
      </c>
      <c r="N11" s="156" t="str">
        <f t="shared" ref="N11:N76" si="7">IF(I11="Agente",J11,"")</f>
        <v/>
      </c>
      <c r="O11" s="156"/>
      <c r="P11" s="155" t="str">
        <f t="shared" ref="P11:P76" si="8">IF(I11="Crédito",J11,"")</f>
        <v/>
      </c>
      <c r="Q11" s="208" t="str">
        <f t="shared" ref="Q11:Q76" si="9">IF(I11="Internet",J11,"")</f>
        <v/>
      </c>
      <c r="R11" s="208" t="str">
        <f t="shared" ref="R11:R76" si="10">IF(I11="Todos los Canales",J11,"")</f>
        <v/>
      </c>
      <c r="S11" s="208" t="str">
        <f t="shared" ref="S11:S76" si="11">IF(I11="POS",J11,"")</f>
        <v/>
      </c>
      <c r="AH11" s="157"/>
    </row>
    <row r="12" spans="2:34" s="155" customFormat="1">
      <c r="B12" s="149">
        <v>1</v>
      </c>
      <c r="C12" s="161">
        <f t="shared" si="3"/>
        <v>4</v>
      </c>
      <c r="D12" s="150">
        <f t="shared" si="4"/>
        <v>7</v>
      </c>
      <c r="E12" s="150" t="str">
        <f t="shared" si="5"/>
        <v>147</v>
      </c>
      <c r="F12" s="150" t="s">
        <v>188</v>
      </c>
      <c r="G12" s="150" t="s">
        <v>215</v>
      </c>
      <c r="H12" s="150" t="s">
        <v>66</v>
      </c>
      <c r="I12" s="149" t="s">
        <v>73</v>
      </c>
      <c r="J12" s="160">
        <v>0.5</v>
      </c>
      <c r="K12" s="149" t="s">
        <v>216</v>
      </c>
      <c r="M12" s="208">
        <f t="shared" si="6"/>
        <v>0.5</v>
      </c>
      <c r="N12" s="156" t="str">
        <f t="shared" si="7"/>
        <v/>
      </c>
      <c r="O12" s="156" t="str">
        <f t="shared" ref="O12:O76" si="12">IF(I12="Débito",J12,"")</f>
        <v/>
      </c>
      <c r="P12" s="155" t="str">
        <f t="shared" si="8"/>
        <v/>
      </c>
      <c r="Q12" s="208" t="str">
        <f t="shared" si="9"/>
        <v/>
      </c>
      <c r="R12" s="208" t="str">
        <f t="shared" si="10"/>
        <v/>
      </c>
      <c r="S12" s="208" t="str">
        <f t="shared" si="11"/>
        <v/>
      </c>
      <c r="AH12" s="157"/>
    </row>
    <row r="13" spans="2:34" s="155" customFormat="1">
      <c r="B13" s="149">
        <v>1</v>
      </c>
      <c r="C13" s="162">
        <f t="shared" si="3"/>
        <v>5</v>
      </c>
      <c r="D13" s="150">
        <f t="shared" si="4"/>
        <v>1</v>
      </c>
      <c r="E13" s="150" t="str">
        <f t="shared" si="5"/>
        <v>151</v>
      </c>
      <c r="F13" s="150" t="s">
        <v>108</v>
      </c>
      <c r="G13" s="150" t="s">
        <v>215</v>
      </c>
      <c r="H13" s="150" t="s">
        <v>66</v>
      </c>
      <c r="I13" s="149" t="s">
        <v>85</v>
      </c>
      <c r="J13" s="160">
        <v>1</v>
      </c>
      <c r="K13" s="149" t="s">
        <v>216</v>
      </c>
      <c r="M13" s="208" t="str">
        <f t="shared" si="6"/>
        <v/>
      </c>
      <c r="N13" s="156">
        <f t="shared" si="7"/>
        <v>1</v>
      </c>
      <c r="O13" s="156" t="str">
        <f t="shared" si="12"/>
        <v/>
      </c>
      <c r="P13" s="155" t="str">
        <f t="shared" si="8"/>
        <v/>
      </c>
      <c r="Q13" s="208" t="str">
        <f t="shared" si="9"/>
        <v/>
      </c>
      <c r="R13" s="208" t="str">
        <f t="shared" si="10"/>
        <v/>
      </c>
      <c r="S13" s="208" t="str">
        <f t="shared" si="11"/>
        <v/>
      </c>
      <c r="AH13" s="157"/>
    </row>
    <row r="14" spans="2:34" s="155" customFormat="1">
      <c r="B14" s="149">
        <v>1</v>
      </c>
      <c r="C14" s="150">
        <f t="shared" si="3"/>
        <v>5</v>
      </c>
      <c r="D14" s="150">
        <f t="shared" si="4"/>
        <v>4</v>
      </c>
      <c r="E14" s="150" t="str">
        <f t="shared" si="5"/>
        <v>154</v>
      </c>
      <c r="F14" s="150" t="s">
        <v>108</v>
      </c>
      <c r="G14" s="150" t="s">
        <v>215</v>
      </c>
      <c r="H14" s="150" t="s">
        <v>66</v>
      </c>
      <c r="I14" s="149" t="s">
        <v>87</v>
      </c>
      <c r="J14" s="160">
        <v>0.7</v>
      </c>
      <c r="K14" s="149" t="s">
        <v>216</v>
      </c>
      <c r="M14" s="208" t="str">
        <f t="shared" si="6"/>
        <v/>
      </c>
      <c r="N14" s="156" t="str">
        <f t="shared" si="7"/>
        <v/>
      </c>
      <c r="O14" s="156" t="str">
        <f t="shared" si="12"/>
        <v/>
      </c>
      <c r="P14" s="155" t="str">
        <f t="shared" si="8"/>
        <v/>
      </c>
      <c r="Q14" s="208">
        <f t="shared" si="9"/>
        <v>0.7</v>
      </c>
      <c r="R14" s="208" t="str">
        <f t="shared" si="10"/>
        <v/>
      </c>
      <c r="S14" s="208" t="str">
        <f t="shared" si="11"/>
        <v/>
      </c>
      <c r="AH14" s="157"/>
    </row>
    <row r="15" spans="2:34" s="155" customFormat="1">
      <c r="B15" s="149">
        <v>1</v>
      </c>
      <c r="C15" s="159">
        <f t="shared" si="3"/>
        <v>5</v>
      </c>
      <c r="D15" s="150">
        <f t="shared" si="4"/>
        <v>3</v>
      </c>
      <c r="E15" s="150" t="str">
        <f t="shared" si="5"/>
        <v>153</v>
      </c>
      <c r="F15" s="150" t="s">
        <v>108</v>
      </c>
      <c r="G15" s="150" t="s">
        <v>215</v>
      </c>
      <c r="H15" s="150" t="s">
        <v>66</v>
      </c>
      <c r="I15" s="149" t="s">
        <v>167</v>
      </c>
      <c r="J15" s="160">
        <v>1</v>
      </c>
      <c r="K15" s="149" t="s">
        <v>216</v>
      </c>
      <c r="M15" s="208" t="str">
        <f t="shared" si="6"/>
        <v/>
      </c>
      <c r="N15" s="156" t="str">
        <f t="shared" si="7"/>
        <v/>
      </c>
      <c r="O15" s="156"/>
      <c r="P15" s="155" t="str">
        <f t="shared" si="8"/>
        <v/>
      </c>
      <c r="Q15" s="208" t="str">
        <f t="shared" si="9"/>
        <v/>
      </c>
      <c r="R15" s="208" t="str">
        <f t="shared" si="10"/>
        <v/>
      </c>
      <c r="S15" s="208" t="str">
        <f t="shared" si="11"/>
        <v/>
      </c>
      <c r="AH15" s="157"/>
    </row>
    <row r="16" spans="2:34" s="155" customFormat="1">
      <c r="B16" s="149">
        <v>1</v>
      </c>
      <c r="C16" s="161">
        <f t="shared" si="3"/>
        <v>5</v>
      </c>
      <c r="D16" s="150">
        <f t="shared" si="4"/>
        <v>7</v>
      </c>
      <c r="E16" s="150" t="str">
        <f t="shared" si="5"/>
        <v>157</v>
      </c>
      <c r="F16" s="150" t="s">
        <v>108</v>
      </c>
      <c r="G16" s="150" t="s">
        <v>215</v>
      </c>
      <c r="H16" s="150" t="s">
        <v>66</v>
      </c>
      <c r="I16" s="149" t="s">
        <v>73</v>
      </c>
      <c r="J16" s="160">
        <v>1</v>
      </c>
      <c r="K16" s="149" t="s">
        <v>216</v>
      </c>
      <c r="M16" s="208">
        <f t="shared" si="6"/>
        <v>1</v>
      </c>
      <c r="N16" s="156" t="str">
        <f t="shared" si="7"/>
        <v/>
      </c>
      <c r="O16" s="156" t="str">
        <f t="shared" si="12"/>
        <v/>
      </c>
      <c r="P16" s="155" t="str">
        <f t="shared" si="8"/>
        <v/>
      </c>
      <c r="Q16" s="208" t="str">
        <f t="shared" si="9"/>
        <v/>
      </c>
      <c r="R16" s="208" t="str">
        <f t="shared" si="10"/>
        <v/>
      </c>
      <c r="S16" s="208" t="str">
        <f t="shared" si="11"/>
        <v/>
      </c>
      <c r="AH16" s="157"/>
    </row>
    <row r="17" spans="2:34" s="155" customFormat="1">
      <c r="B17" s="149">
        <v>1</v>
      </c>
      <c r="C17" s="150">
        <f t="shared" si="3"/>
        <v>6</v>
      </c>
      <c r="D17" s="150">
        <f t="shared" si="4"/>
        <v>7</v>
      </c>
      <c r="E17" s="150" t="str">
        <f t="shared" si="5"/>
        <v>167</v>
      </c>
      <c r="F17" s="151" t="s">
        <v>109</v>
      </c>
      <c r="G17" s="150" t="s">
        <v>215</v>
      </c>
      <c r="H17" s="151" t="s">
        <v>66</v>
      </c>
      <c r="I17" s="154" t="s">
        <v>73</v>
      </c>
      <c r="J17" s="163">
        <v>0.5</v>
      </c>
      <c r="K17" s="154" t="s">
        <v>216</v>
      </c>
      <c r="M17" s="208">
        <f t="shared" si="6"/>
        <v>0.5</v>
      </c>
      <c r="N17" s="156" t="str">
        <f t="shared" si="7"/>
        <v/>
      </c>
      <c r="O17" s="156" t="str">
        <f t="shared" si="12"/>
        <v/>
      </c>
      <c r="P17" s="155" t="str">
        <f t="shared" si="8"/>
        <v/>
      </c>
      <c r="Q17" s="208" t="str">
        <f t="shared" si="9"/>
        <v/>
      </c>
      <c r="R17" s="208" t="str">
        <f t="shared" si="10"/>
        <v/>
      </c>
      <c r="S17" s="208" t="str">
        <f t="shared" si="11"/>
        <v/>
      </c>
      <c r="AH17" s="157"/>
    </row>
    <row r="18" spans="2:34" s="155" customFormat="1">
      <c r="B18" s="149">
        <v>1</v>
      </c>
      <c r="C18" s="150">
        <f t="shared" si="3"/>
        <v>7</v>
      </c>
      <c r="D18" s="150">
        <f t="shared" si="4"/>
        <v>7</v>
      </c>
      <c r="E18" s="150" t="str">
        <f t="shared" si="5"/>
        <v>177</v>
      </c>
      <c r="F18" s="150" t="s">
        <v>189</v>
      </c>
      <c r="G18" s="150" t="s">
        <v>215</v>
      </c>
      <c r="H18" s="150" t="s">
        <v>66</v>
      </c>
      <c r="I18" s="149" t="s">
        <v>73</v>
      </c>
      <c r="J18" s="160">
        <v>1.1000000000000001</v>
      </c>
      <c r="K18" s="149" t="s">
        <v>216</v>
      </c>
      <c r="M18" s="208">
        <f t="shared" si="6"/>
        <v>1.1000000000000001</v>
      </c>
      <c r="N18" s="156" t="str">
        <f t="shared" si="7"/>
        <v/>
      </c>
      <c r="O18" s="156" t="str">
        <f t="shared" si="12"/>
        <v/>
      </c>
      <c r="P18" s="155" t="str">
        <f t="shared" si="8"/>
        <v/>
      </c>
      <c r="Q18" s="208" t="str">
        <f t="shared" si="9"/>
        <v/>
      </c>
      <c r="R18" s="208" t="str">
        <f t="shared" si="10"/>
        <v/>
      </c>
      <c r="S18" s="208" t="str">
        <f t="shared" si="11"/>
        <v/>
      </c>
      <c r="AH18" s="157"/>
    </row>
    <row r="19" spans="2:34" s="155" customFormat="1">
      <c r="B19" s="149">
        <v>1</v>
      </c>
      <c r="C19" s="150">
        <f t="shared" si="3"/>
        <v>8</v>
      </c>
      <c r="D19" s="150">
        <f t="shared" si="4"/>
        <v>7</v>
      </c>
      <c r="E19" s="150" t="str">
        <f t="shared" si="5"/>
        <v>187</v>
      </c>
      <c r="F19" s="151" t="s">
        <v>193</v>
      </c>
      <c r="G19" s="151" t="s">
        <v>217</v>
      </c>
      <c r="H19" s="151" t="s">
        <v>66</v>
      </c>
      <c r="I19" s="154" t="s">
        <v>73</v>
      </c>
      <c r="J19" s="163">
        <v>0.7</v>
      </c>
      <c r="K19" s="154" t="s">
        <v>216</v>
      </c>
      <c r="M19" s="208">
        <f t="shared" si="6"/>
        <v>0.7</v>
      </c>
      <c r="N19" s="156" t="str">
        <f t="shared" si="7"/>
        <v/>
      </c>
      <c r="O19" s="156" t="str">
        <f t="shared" si="12"/>
        <v/>
      </c>
      <c r="P19" s="155" t="str">
        <f t="shared" si="8"/>
        <v/>
      </c>
      <c r="Q19" s="208" t="str">
        <f t="shared" si="9"/>
        <v/>
      </c>
      <c r="R19" s="208" t="str">
        <f t="shared" si="10"/>
        <v/>
      </c>
      <c r="S19" s="208" t="str">
        <f t="shared" si="11"/>
        <v/>
      </c>
      <c r="AH19" s="157"/>
    </row>
    <row r="20" spans="2:34" s="155" customFormat="1">
      <c r="B20" s="149">
        <v>1</v>
      </c>
      <c r="C20" s="149">
        <f t="shared" si="3"/>
        <v>9</v>
      </c>
      <c r="D20" s="149">
        <f t="shared" si="4"/>
        <v>7</v>
      </c>
      <c r="E20" s="149" t="str">
        <f t="shared" si="5"/>
        <v>197</v>
      </c>
      <c r="F20" s="154" t="s">
        <v>192</v>
      </c>
      <c r="G20" s="151" t="s">
        <v>217</v>
      </c>
      <c r="H20" s="154" t="s">
        <v>66</v>
      </c>
      <c r="I20" s="154" t="s">
        <v>73</v>
      </c>
      <c r="J20" s="163">
        <v>0.8</v>
      </c>
      <c r="K20" s="154" t="s">
        <v>216</v>
      </c>
      <c r="M20" s="208">
        <f t="shared" si="6"/>
        <v>0.8</v>
      </c>
      <c r="N20" s="156" t="str">
        <f t="shared" si="7"/>
        <v/>
      </c>
      <c r="O20" s="156" t="str">
        <f t="shared" si="12"/>
        <v/>
      </c>
      <c r="P20" s="155" t="str">
        <f t="shared" si="8"/>
        <v/>
      </c>
      <c r="Q20" s="208" t="str">
        <f t="shared" si="9"/>
        <v/>
      </c>
      <c r="R20" s="208" t="str">
        <f t="shared" si="10"/>
        <v/>
      </c>
      <c r="S20" s="208" t="str">
        <f t="shared" si="11"/>
        <v/>
      </c>
      <c r="AH20" s="157"/>
    </row>
    <row r="21" spans="2:34" s="155" customFormat="1">
      <c r="B21" s="149">
        <v>1</v>
      </c>
      <c r="C21" s="164">
        <f t="shared" si="3"/>
        <v>11</v>
      </c>
      <c r="D21" s="164">
        <f t="shared" si="4"/>
        <v>7</v>
      </c>
      <c r="E21" s="164" t="str">
        <f t="shared" si="5"/>
        <v>1117</v>
      </c>
      <c r="F21" s="164" t="s">
        <v>78</v>
      </c>
      <c r="G21" s="150" t="s">
        <v>218</v>
      </c>
      <c r="H21" s="149" t="s">
        <v>66</v>
      </c>
      <c r="I21" s="149" t="s">
        <v>73</v>
      </c>
      <c r="J21" s="165">
        <v>1.5</v>
      </c>
      <c r="K21" s="149" t="s">
        <v>216</v>
      </c>
      <c r="M21" s="208">
        <f t="shared" si="6"/>
        <v>1.5</v>
      </c>
      <c r="N21" s="156" t="str">
        <f t="shared" si="7"/>
        <v/>
      </c>
      <c r="O21" s="156" t="str">
        <f t="shared" si="12"/>
        <v/>
      </c>
      <c r="P21" s="155" t="str">
        <f t="shared" si="8"/>
        <v/>
      </c>
      <c r="Q21" s="208" t="str">
        <f t="shared" si="9"/>
        <v/>
      </c>
      <c r="R21" s="208" t="str">
        <f t="shared" si="10"/>
        <v/>
      </c>
      <c r="S21" s="208" t="str">
        <f t="shared" si="11"/>
        <v/>
      </c>
      <c r="AH21" s="157"/>
    </row>
    <row r="22" spans="2:34" s="155" customFormat="1">
      <c r="B22" s="149">
        <v>1</v>
      </c>
      <c r="C22" s="164">
        <f t="shared" si="3"/>
        <v>14</v>
      </c>
      <c r="D22" s="164">
        <f t="shared" si="4"/>
        <v>3</v>
      </c>
      <c r="E22" s="164" t="str">
        <f t="shared" si="5"/>
        <v>1143</v>
      </c>
      <c r="F22" s="166" t="s">
        <v>82</v>
      </c>
      <c r="G22" s="151" t="s">
        <v>213</v>
      </c>
      <c r="H22" s="154" t="s">
        <v>66</v>
      </c>
      <c r="I22" s="154" t="s">
        <v>167</v>
      </c>
      <c r="J22" s="158">
        <v>0.03</v>
      </c>
      <c r="K22" s="154" t="s">
        <v>214</v>
      </c>
      <c r="M22" s="208" t="str">
        <f t="shared" si="6"/>
        <v/>
      </c>
      <c r="N22" s="156" t="str">
        <f t="shared" si="7"/>
        <v/>
      </c>
      <c r="O22" s="156">
        <f t="shared" si="12"/>
        <v>0.03</v>
      </c>
      <c r="P22" s="155" t="str">
        <f t="shared" si="8"/>
        <v/>
      </c>
      <c r="Q22" s="208" t="str">
        <f t="shared" si="9"/>
        <v/>
      </c>
      <c r="R22" s="208" t="str">
        <f t="shared" si="10"/>
        <v/>
      </c>
      <c r="S22" s="208" t="str">
        <f t="shared" si="11"/>
        <v/>
      </c>
      <c r="AH22" s="157"/>
    </row>
    <row r="23" spans="2:34" s="155" customFormat="1">
      <c r="B23" s="149">
        <v>1</v>
      </c>
      <c r="C23" s="164">
        <f t="shared" si="3"/>
        <v>16</v>
      </c>
      <c r="D23" s="164">
        <f t="shared" si="4"/>
        <v>3</v>
      </c>
      <c r="E23" s="164" t="str">
        <f t="shared" si="5"/>
        <v>1163</v>
      </c>
      <c r="F23" s="166" t="s">
        <v>199</v>
      </c>
      <c r="G23" s="151" t="s">
        <v>213</v>
      </c>
      <c r="H23" s="154" t="s">
        <v>66</v>
      </c>
      <c r="I23" s="154" t="s">
        <v>167</v>
      </c>
      <c r="J23" s="158">
        <v>0.03</v>
      </c>
      <c r="K23" s="154" t="s">
        <v>214</v>
      </c>
      <c r="M23" s="208" t="str">
        <f t="shared" si="6"/>
        <v/>
      </c>
      <c r="N23" s="156" t="str">
        <f t="shared" si="7"/>
        <v/>
      </c>
      <c r="O23" s="156">
        <f t="shared" si="12"/>
        <v>0.03</v>
      </c>
      <c r="P23" s="155" t="str">
        <f t="shared" si="8"/>
        <v/>
      </c>
      <c r="Q23" s="208" t="str">
        <f t="shared" si="9"/>
        <v/>
      </c>
      <c r="R23" s="208" t="str">
        <f t="shared" si="10"/>
        <v/>
      </c>
      <c r="S23" s="208" t="str">
        <f t="shared" si="11"/>
        <v/>
      </c>
      <c r="AH23" s="157"/>
    </row>
    <row r="24" spans="2:34" s="155" customFormat="1">
      <c r="B24" s="149">
        <v>1</v>
      </c>
      <c r="C24" s="164">
        <f t="shared" si="3"/>
        <v>18</v>
      </c>
      <c r="D24" s="164">
        <f t="shared" si="4"/>
        <v>7</v>
      </c>
      <c r="E24" s="164" t="str">
        <f t="shared" si="5"/>
        <v>1187</v>
      </c>
      <c r="F24" s="166" t="s">
        <v>191</v>
      </c>
      <c r="G24" s="150" t="s">
        <v>215</v>
      </c>
      <c r="H24" s="154" t="s">
        <v>66</v>
      </c>
      <c r="I24" s="154" t="s">
        <v>73</v>
      </c>
      <c r="J24" s="163">
        <v>0.6</v>
      </c>
      <c r="K24" s="154" t="s">
        <v>216</v>
      </c>
      <c r="M24" s="208">
        <f t="shared" si="6"/>
        <v>0.6</v>
      </c>
      <c r="N24" s="156" t="str">
        <f t="shared" si="7"/>
        <v/>
      </c>
      <c r="O24" s="156" t="str">
        <f t="shared" si="12"/>
        <v/>
      </c>
      <c r="P24" s="155" t="str">
        <f t="shared" si="8"/>
        <v/>
      </c>
      <c r="Q24" s="208" t="str">
        <f t="shared" si="9"/>
        <v/>
      </c>
      <c r="R24" s="208" t="str">
        <f t="shared" si="10"/>
        <v/>
      </c>
      <c r="S24" s="208" t="str">
        <f t="shared" si="11"/>
        <v/>
      </c>
      <c r="AH24" s="157"/>
    </row>
    <row r="25" spans="2:34" s="155" customFormat="1">
      <c r="B25" s="149">
        <v>1</v>
      </c>
      <c r="C25" s="164">
        <f t="shared" si="3"/>
        <v>19</v>
      </c>
      <c r="D25" s="164">
        <f t="shared" si="4"/>
        <v>7</v>
      </c>
      <c r="E25" s="164" t="str">
        <f t="shared" si="5"/>
        <v>1197</v>
      </c>
      <c r="F25" s="164" t="s">
        <v>80</v>
      </c>
      <c r="G25" s="150" t="s">
        <v>219</v>
      </c>
      <c r="H25" s="149" t="s">
        <v>66</v>
      </c>
      <c r="I25" s="149" t="s">
        <v>73</v>
      </c>
      <c r="J25" s="160">
        <v>1.6</v>
      </c>
      <c r="K25" s="149" t="s">
        <v>216</v>
      </c>
      <c r="M25" s="208">
        <f t="shared" si="6"/>
        <v>1.6</v>
      </c>
      <c r="N25" s="156" t="str">
        <f t="shared" si="7"/>
        <v/>
      </c>
      <c r="O25" s="156" t="str">
        <f t="shared" si="12"/>
        <v/>
      </c>
      <c r="P25" s="155" t="str">
        <f t="shared" si="8"/>
        <v/>
      </c>
      <c r="Q25" s="208" t="str">
        <f t="shared" si="9"/>
        <v/>
      </c>
      <c r="R25" s="208" t="str">
        <f t="shared" si="10"/>
        <v/>
      </c>
      <c r="S25" s="208" t="str">
        <f t="shared" si="11"/>
        <v/>
      </c>
      <c r="AH25" s="157"/>
    </row>
    <row r="26" spans="2:34" s="155" customFormat="1">
      <c r="B26" s="149">
        <v>1</v>
      </c>
      <c r="C26" s="164">
        <f t="shared" si="3"/>
        <v>20</v>
      </c>
      <c r="D26" s="164">
        <f t="shared" si="4"/>
        <v>7</v>
      </c>
      <c r="E26" s="164" t="str">
        <f t="shared" si="5"/>
        <v>1207</v>
      </c>
      <c r="F26" s="166" t="s">
        <v>190</v>
      </c>
      <c r="G26" s="150" t="s">
        <v>215</v>
      </c>
      <c r="H26" s="154" t="s">
        <v>66</v>
      </c>
      <c r="I26" s="154" t="s">
        <v>73</v>
      </c>
      <c r="J26" s="163">
        <v>2</v>
      </c>
      <c r="K26" s="154" t="s">
        <v>216</v>
      </c>
      <c r="M26" s="208">
        <f t="shared" si="6"/>
        <v>2</v>
      </c>
      <c r="N26" s="156" t="str">
        <f t="shared" si="7"/>
        <v/>
      </c>
      <c r="O26" s="156" t="str">
        <f t="shared" si="12"/>
        <v/>
      </c>
      <c r="P26" s="155" t="str">
        <f t="shared" si="8"/>
        <v/>
      </c>
      <c r="Q26" s="208" t="str">
        <f t="shared" si="9"/>
        <v/>
      </c>
      <c r="R26" s="208" t="str">
        <f t="shared" si="10"/>
        <v/>
      </c>
      <c r="S26" s="208" t="str">
        <f t="shared" si="11"/>
        <v/>
      </c>
      <c r="AH26" s="157"/>
    </row>
    <row r="27" spans="2:34" s="155" customFormat="1">
      <c r="B27" s="149">
        <v>1</v>
      </c>
      <c r="C27" s="164">
        <f t="shared" si="3"/>
        <v>22</v>
      </c>
      <c r="D27" s="164">
        <f t="shared" si="4"/>
        <v>7</v>
      </c>
      <c r="E27" s="164" t="str">
        <f t="shared" si="5"/>
        <v>1227</v>
      </c>
      <c r="F27" s="164" t="s">
        <v>79</v>
      </c>
      <c r="G27" s="150" t="s">
        <v>218</v>
      </c>
      <c r="H27" s="149" t="s">
        <v>66</v>
      </c>
      <c r="I27" s="149" t="s">
        <v>73</v>
      </c>
      <c r="J27" s="160">
        <v>1.6</v>
      </c>
      <c r="K27" s="149" t="s">
        <v>216</v>
      </c>
      <c r="M27" s="208">
        <f t="shared" si="6"/>
        <v>1.6</v>
      </c>
      <c r="N27" s="156" t="str">
        <f t="shared" si="7"/>
        <v/>
      </c>
      <c r="O27" s="156" t="str">
        <f t="shared" si="12"/>
        <v/>
      </c>
      <c r="P27" s="155" t="str">
        <f t="shared" si="8"/>
        <v/>
      </c>
      <c r="Q27" s="208" t="str">
        <f t="shared" si="9"/>
        <v/>
      </c>
      <c r="R27" s="208" t="str">
        <f t="shared" si="10"/>
        <v/>
      </c>
      <c r="S27" s="208" t="str">
        <f t="shared" si="11"/>
        <v/>
      </c>
      <c r="AH27" s="157"/>
    </row>
    <row r="28" spans="2:34" s="155" customFormat="1">
      <c r="B28" s="149">
        <v>1</v>
      </c>
      <c r="C28" s="164">
        <f t="shared" si="3"/>
        <v>23</v>
      </c>
      <c r="D28" s="164">
        <f t="shared" si="4"/>
        <v>7</v>
      </c>
      <c r="E28" s="164" t="str">
        <f t="shared" si="5"/>
        <v>1237</v>
      </c>
      <c r="F28" s="164" t="s">
        <v>77</v>
      </c>
      <c r="G28" s="150" t="s">
        <v>218</v>
      </c>
      <c r="H28" s="149" t="s">
        <v>66</v>
      </c>
      <c r="I28" s="149" t="s">
        <v>73</v>
      </c>
      <c r="J28" s="160">
        <v>1.45</v>
      </c>
      <c r="K28" s="149" t="s">
        <v>216</v>
      </c>
      <c r="M28" s="208">
        <f t="shared" si="6"/>
        <v>1.45</v>
      </c>
      <c r="N28" s="156" t="str">
        <f t="shared" si="7"/>
        <v/>
      </c>
      <c r="O28" s="156" t="str">
        <f t="shared" si="12"/>
        <v/>
      </c>
      <c r="P28" s="155" t="str">
        <f t="shared" si="8"/>
        <v/>
      </c>
      <c r="Q28" s="208" t="str">
        <f t="shared" si="9"/>
        <v/>
      </c>
      <c r="R28" s="208" t="str">
        <f t="shared" si="10"/>
        <v/>
      </c>
      <c r="S28" s="208" t="str">
        <f t="shared" si="11"/>
        <v/>
      </c>
      <c r="AH28" s="157"/>
    </row>
    <row r="29" spans="2:34" s="155" customFormat="1">
      <c r="B29" s="149">
        <v>1</v>
      </c>
      <c r="C29" s="164">
        <f t="shared" si="3"/>
        <v>25</v>
      </c>
      <c r="D29" s="164">
        <f t="shared" si="4"/>
        <v>3</v>
      </c>
      <c r="E29" s="164" t="str">
        <f t="shared" si="5"/>
        <v>1253</v>
      </c>
      <c r="F29" s="164" t="s">
        <v>186</v>
      </c>
      <c r="G29" s="150" t="s">
        <v>215</v>
      </c>
      <c r="H29" s="149" t="s">
        <v>66</v>
      </c>
      <c r="I29" s="149" t="s">
        <v>167</v>
      </c>
      <c r="J29" s="160">
        <v>1</v>
      </c>
      <c r="K29" s="149" t="s">
        <v>216</v>
      </c>
      <c r="M29" s="208" t="str">
        <f t="shared" si="6"/>
        <v/>
      </c>
      <c r="N29" s="156" t="str">
        <f t="shared" si="7"/>
        <v/>
      </c>
      <c r="O29" s="156"/>
      <c r="P29" s="155" t="str">
        <f t="shared" si="8"/>
        <v/>
      </c>
      <c r="Q29" s="208" t="str">
        <f t="shared" si="9"/>
        <v/>
      </c>
      <c r="R29" s="208" t="str">
        <f t="shared" si="10"/>
        <v/>
      </c>
      <c r="S29" s="208" t="str">
        <f t="shared" si="11"/>
        <v/>
      </c>
      <c r="AH29" s="157"/>
    </row>
    <row r="30" spans="2:34" s="155" customFormat="1">
      <c r="B30" s="149">
        <v>1</v>
      </c>
      <c r="C30" s="164">
        <f t="shared" si="3"/>
        <v>25</v>
      </c>
      <c r="D30" s="164">
        <f t="shared" si="4"/>
        <v>7</v>
      </c>
      <c r="E30" s="164" t="str">
        <f t="shared" si="5"/>
        <v>1257</v>
      </c>
      <c r="F30" s="164" t="s">
        <v>186</v>
      </c>
      <c r="G30" s="150" t="s">
        <v>215</v>
      </c>
      <c r="H30" s="149" t="s">
        <v>66</v>
      </c>
      <c r="I30" s="149" t="s">
        <v>73</v>
      </c>
      <c r="J30" s="160">
        <v>0.5</v>
      </c>
      <c r="K30" s="149" t="s">
        <v>216</v>
      </c>
      <c r="M30" s="208">
        <f t="shared" si="6"/>
        <v>0.5</v>
      </c>
      <c r="N30" s="156" t="str">
        <f t="shared" si="7"/>
        <v/>
      </c>
      <c r="O30" s="156" t="str">
        <f t="shared" si="12"/>
        <v/>
      </c>
      <c r="P30" s="155" t="str">
        <f t="shared" si="8"/>
        <v/>
      </c>
      <c r="Q30" s="208" t="str">
        <f t="shared" si="9"/>
        <v/>
      </c>
      <c r="R30" s="208" t="str">
        <f t="shared" si="10"/>
        <v/>
      </c>
      <c r="S30" s="208" t="str">
        <f t="shared" si="11"/>
        <v/>
      </c>
      <c r="AH30" s="157"/>
    </row>
    <row r="31" spans="2:34" s="155" customFormat="1">
      <c r="B31" s="149">
        <v>1</v>
      </c>
      <c r="C31" s="164">
        <f t="shared" si="3"/>
        <v>30</v>
      </c>
      <c r="D31" s="164">
        <f t="shared" si="4"/>
        <v>3</v>
      </c>
      <c r="E31" s="164" t="str">
        <f t="shared" si="5"/>
        <v>1303</v>
      </c>
      <c r="F31" s="166" t="s">
        <v>81</v>
      </c>
      <c r="G31" s="154" t="s">
        <v>213</v>
      </c>
      <c r="H31" s="154" t="s">
        <v>66</v>
      </c>
      <c r="I31" s="154" t="s">
        <v>167</v>
      </c>
      <c r="J31" s="158">
        <v>0.03</v>
      </c>
      <c r="K31" s="154" t="s">
        <v>214</v>
      </c>
      <c r="M31" s="208" t="str">
        <f t="shared" si="6"/>
        <v/>
      </c>
      <c r="N31" s="156" t="str">
        <f t="shared" si="7"/>
        <v/>
      </c>
      <c r="O31" s="156">
        <f t="shared" si="12"/>
        <v>0.03</v>
      </c>
      <c r="P31" s="155" t="str">
        <f t="shared" si="8"/>
        <v/>
      </c>
      <c r="Q31" s="208" t="str">
        <f t="shared" si="9"/>
        <v/>
      </c>
      <c r="R31" s="208" t="str">
        <f t="shared" si="10"/>
        <v/>
      </c>
      <c r="S31" s="208" t="str">
        <f t="shared" si="11"/>
        <v/>
      </c>
      <c r="AH31" s="157"/>
    </row>
    <row r="32" spans="2:34" s="155" customFormat="1">
      <c r="B32" s="149">
        <v>1</v>
      </c>
      <c r="C32" s="164">
        <f t="shared" si="3"/>
        <v>35</v>
      </c>
      <c r="D32" s="164">
        <f t="shared" si="4"/>
        <v>7</v>
      </c>
      <c r="E32" s="164" t="str">
        <f t="shared" si="5"/>
        <v>1357</v>
      </c>
      <c r="F32" s="164" t="s">
        <v>76</v>
      </c>
      <c r="G32" s="149" t="s">
        <v>218</v>
      </c>
      <c r="H32" s="149" t="s">
        <v>66</v>
      </c>
      <c r="I32" s="149" t="s">
        <v>73</v>
      </c>
      <c r="J32" s="160">
        <v>1.5</v>
      </c>
      <c r="K32" s="149" t="s">
        <v>216</v>
      </c>
      <c r="M32" s="208">
        <f t="shared" si="6"/>
        <v>1.5</v>
      </c>
      <c r="N32" s="156" t="str">
        <f t="shared" si="7"/>
        <v/>
      </c>
      <c r="O32" s="156" t="str">
        <f t="shared" si="12"/>
        <v/>
      </c>
      <c r="P32" s="155" t="str">
        <f t="shared" si="8"/>
        <v/>
      </c>
      <c r="Q32" s="208" t="str">
        <f t="shared" si="9"/>
        <v/>
      </c>
      <c r="R32" s="208" t="str">
        <f t="shared" si="10"/>
        <v/>
      </c>
      <c r="S32" s="208" t="str">
        <f t="shared" si="11"/>
        <v/>
      </c>
      <c r="AH32" s="157"/>
    </row>
    <row r="33" spans="2:34" s="155" customFormat="1">
      <c r="B33" s="149">
        <v>1</v>
      </c>
      <c r="C33" s="164">
        <f t="shared" si="3"/>
        <v>36</v>
      </c>
      <c r="D33" s="164">
        <f t="shared" si="4"/>
        <v>3</v>
      </c>
      <c r="E33" s="164" t="str">
        <f t="shared" si="5"/>
        <v>1363</v>
      </c>
      <c r="F33" s="164" t="s">
        <v>187</v>
      </c>
      <c r="G33" s="149" t="s">
        <v>215</v>
      </c>
      <c r="H33" s="149" t="s">
        <v>66</v>
      </c>
      <c r="I33" s="149" t="s">
        <v>167</v>
      </c>
      <c r="J33" s="160">
        <v>1.55</v>
      </c>
      <c r="K33" s="149" t="s">
        <v>216</v>
      </c>
      <c r="M33" s="208" t="str">
        <f t="shared" si="6"/>
        <v/>
      </c>
      <c r="N33" s="156" t="str">
        <f t="shared" si="7"/>
        <v/>
      </c>
      <c r="O33" s="156"/>
      <c r="P33" s="155" t="str">
        <f t="shared" si="8"/>
        <v/>
      </c>
      <c r="Q33" s="208" t="str">
        <f t="shared" si="9"/>
        <v/>
      </c>
      <c r="R33" s="208" t="str">
        <f t="shared" si="10"/>
        <v/>
      </c>
      <c r="S33" s="208" t="str">
        <f t="shared" si="11"/>
        <v/>
      </c>
      <c r="AH33" s="157"/>
    </row>
    <row r="34" spans="2:34" s="155" customFormat="1">
      <c r="B34" s="149">
        <v>1</v>
      </c>
      <c r="C34" s="164">
        <f t="shared" si="3"/>
        <v>36</v>
      </c>
      <c r="D34" s="164">
        <f t="shared" si="4"/>
        <v>7</v>
      </c>
      <c r="E34" s="164" t="str">
        <f t="shared" si="5"/>
        <v>1367</v>
      </c>
      <c r="F34" s="164" t="s">
        <v>187</v>
      </c>
      <c r="G34" s="149" t="s">
        <v>215</v>
      </c>
      <c r="H34" s="149" t="s">
        <v>66</v>
      </c>
      <c r="I34" s="149" t="s">
        <v>73</v>
      </c>
      <c r="J34" s="160">
        <v>0.5</v>
      </c>
      <c r="K34" s="149" t="s">
        <v>216</v>
      </c>
      <c r="M34" s="208">
        <f t="shared" si="6"/>
        <v>0.5</v>
      </c>
      <c r="N34" s="156" t="str">
        <f t="shared" si="7"/>
        <v/>
      </c>
      <c r="O34" s="156" t="str">
        <f t="shared" si="12"/>
        <v/>
      </c>
      <c r="P34" s="155" t="str">
        <f t="shared" si="8"/>
        <v/>
      </c>
      <c r="Q34" s="208" t="str">
        <f t="shared" si="9"/>
        <v/>
      </c>
      <c r="R34" s="208" t="str">
        <f t="shared" si="10"/>
        <v/>
      </c>
      <c r="S34" s="208" t="str">
        <f t="shared" si="11"/>
        <v/>
      </c>
      <c r="AH34" s="157"/>
    </row>
    <row r="35" spans="2:34" s="155" customFormat="1">
      <c r="B35" s="149">
        <v>1</v>
      </c>
      <c r="C35" s="164">
        <f t="shared" si="3"/>
        <v>37</v>
      </c>
      <c r="D35" s="164">
        <f t="shared" si="4"/>
        <v>3</v>
      </c>
      <c r="E35" s="164" t="str">
        <f t="shared" si="5"/>
        <v>1373</v>
      </c>
      <c r="F35" s="166" t="s">
        <v>83</v>
      </c>
      <c r="G35" s="154" t="s">
        <v>213</v>
      </c>
      <c r="H35" s="154" t="s">
        <v>66</v>
      </c>
      <c r="I35" s="154" t="s">
        <v>167</v>
      </c>
      <c r="J35" s="158">
        <v>2.75E-2</v>
      </c>
      <c r="K35" s="154" t="s">
        <v>214</v>
      </c>
      <c r="M35" s="208" t="str">
        <f t="shared" si="6"/>
        <v/>
      </c>
      <c r="N35" s="156" t="str">
        <f t="shared" si="7"/>
        <v/>
      </c>
      <c r="O35" s="156">
        <f t="shared" si="12"/>
        <v>2.75E-2</v>
      </c>
      <c r="P35" s="155" t="str">
        <f t="shared" si="8"/>
        <v/>
      </c>
      <c r="Q35" s="208" t="str">
        <f t="shared" si="9"/>
        <v/>
      </c>
      <c r="R35" s="208" t="str">
        <f t="shared" si="10"/>
        <v/>
      </c>
      <c r="S35" s="208" t="str">
        <f t="shared" si="11"/>
        <v/>
      </c>
      <c r="AH35" s="157"/>
    </row>
    <row r="36" spans="2:34" s="155" customFormat="1">
      <c r="B36" s="149">
        <v>1</v>
      </c>
      <c r="C36" s="164">
        <f t="shared" si="3"/>
        <v>38</v>
      </c>
      <c r="D36" s="164">
        <f t="shared" si="4"/>
        <v>7</v>
      </c>
      <c r="E36" s="164" t="str">
        <f t="shared" si="5"/>
        <v>1387</v>
      </c>
      <c r="F36" s="164" t="s">
        <v>75</v>
      </c>
      <c r="G36" s="149" t="s">
        <v>218</v>
      </c>
      <c r="H36" s="149" t="s">
        <v>66</v>
      </c>
      <c r="I36" s="149" t="s">
        <v>73</v>
      </c>
      <c r="J36" s="160">
        <v>1.5</v>
      </c>
      <c r="K36" s="149" t="s">
        <v>216</v>
      </c>
      <c r="M36" s="208">
        <f t="shared" si="6"/>
        <v>1.5</v>
      </c>
      <c r="N36" s="156" t="str">
        <f t="shared" si="7"/>
        <v/>
      </c>
      <c r="O36" s="156" t="str">
        <f t="shared" si="12"/>
        <v/>
      </c>
      <c r="P36" s="155" t="str">
        <f t="shared" si="8"/>
        <v/>
      </c>
      <c r="Q36" s="208" t="str">
        <f t="shared" si="9"/>
        <v/>
      </c>
      <c r="R36" s="208" t="str">
        <f t="shared" si="10"/>
        <v/>
      </c>
      <c r="S36" s="208" t="str">
        <f t="shared" si="11"/>
        <v/>
      </c>
      <c r="AH36" s="157"/>
    </row>
    <row r="37" spans="2:34" s="170" customFormat="1" ht="15">
      <c r="B37" s="200">
        <v>2</v>
      </c>
      <c r="C37" s="201">
        <f t="shared" si="3"/>
        <v>5</v>
      </c>
      <c r="D37" s="201">
        <f t="shared" si="4"/>
        <v>1</v>
      </c>
      <c r="E37" s="201" t="str">
        <f t="shared" si="5"/>
        <v>251</v>
      </c>
      <c r="F37" s="202" t="s">
        <v>108</v>
      </c>
      <c r="G37" s="201" t="s">
        <v>215</v>
      </c>
      <c r="H37" s="203" t="s">
        <v>66</v>
      </c>
      <c r="I37" s="204" t="s">
        <v>85</v>
      </c>
      <c r="J37" s="205">
        <v>1.6949152542372883</v>
      </c>
      <c r="K37" s="169">
        <v>1</v>
      </c>
      <c r="M37" s="208" t="str">
        <f t="shared" si="6"/>
        <v/>
      </c>
      <c r="N37" s="156">
        <f t="shared" si="7"/>
        <v>1.6949152542372883</v>
      </c>
      <c r="O37" s="156" t="str">
        <f t="shared" si="12"/>
        <v/>
      </c>
      <c r="P37" s="155" t="str">
        <f t="shared" si="8"/>
        <v/>
      </c>
      <c r="Q37" s="208" t="str">
        <f t="shared" si="9"/>
        <v/>
      </c>
      <c r="R37" s="208" t="str">
        <f t="shared" si="10"/>
        <v/>
      </c>
      <c r="S37" s="208" t="str">
        <f t="shared" si="11"/>
        <v/>
      </c>
      <c r="T37" s="155"/>
      <c r="U37" s="155"/>
      <c r="V37" s="170" t="s">
        <v>220</v>
      </c>
      <c r="W37" s="170">
        <v>2</v>
      </c>
    </row>
    <row r="38" spans="2:34" s="170" customFormat="1" ht="15">
      <c r="B38" s="200">
        <v>2</v>
      </c>
      <c r="C38" s="201">
        <f t="shared" si="3"/>
        <v>5</v>
      </c>
      <c r="D38" s="201">
        <f t="shared" si="4"/>
        <v>4</v>
      </c>
      <c r="E38" s="201" t="str">
        <f t="shared" si="5"/>
        <v>254</v>
      </c>
      <c r="F38" s="202" t="s">
        <v>108</v>
      </c>
      <c r="G38" s="201" t="s">
        <v>215</v>
      </c>
      <c r="H38" s="203" t="s">
        <v>66</v>
      </c>
      <c r="I38" s="204" t="s">
        <v>87</v>
      </c>
      <c r="J38" s="205">
        <v>1.6949152542372883</v>
      </c>
      <c r="K38" s="169">
        <v>0</v>
      </c>
      <c r="M38" s="208" t="str">
        <f t="shared" si="6"/>
        <v/>
      </c>
      <c r="N38" s="156" t="str">
        <f t="shared" si="7"/>
        <v/>
      </c>
      <c r="O38" s="156" t="str">
        <f t="shared" si="12"/>
        <v/>
      </c>
      <c r="P38" s="155" t="str">
        <f t="shared" si="8"/>
        <v/>
      </c>
      <c r="Q38" s="208">
        <f t="shared" si="9"/>
        <v>1.6949152542372883</v>
      </c>
      <c r="R38" s="208" t="str">
        <f t="shared" si="10"/>
        <v/>
      </c>
      <c r="S38" s="208" t="str">
        <f t="shared" si="11"/>
        <v/>
      </c>
      <c r="T38" s="155"/>
      <c r="U38" s="155"/>
      <c r="V38" s="170" t="s">
        <v>220</v>
      </c>
      <c r="W38" s="170">
        <v>1.5</v>
      </c>
    </row>
    <row r="39" spans="2:34" s="170" customFormat="1" ht="15">
      <c r="B39" s="200">
        <v>2</v>
      </c>
      <c r="C39" s="201">
        <f t="shared" si="3"/>
        <v>5</v>
      </c>
      <c r="D39" s="201">
        <f t="shared" si="4"/>
        <v>7</v>
      </c>
      <c r="E39" s="201" t="str">
        <f t="shared" si="5"/>
        <v>257</v>
      </c>
      <c r="F39" s="202" t="s">
        <v>108</v>
      </c>
      <c r="G39" s="201" t="s">
        <v>215</v>
      </c>
      <c r="H39" s="203" t="s">
        <v>66</v>
      </c>
      <c r="I39" s="204" t="s">
        <v>73</v>
      </c>
      <c r="J39" s="205">
        <v>3.3898305084745766</v>
      </c>
      <c r="K39" s="169">
        <v>0</v>
      </c>
      <c r="L39" s="199"/>
      <c r="M39" s="208">
        <f t="shared" si="6"/>
        <v>3.3898305084745766</v>
      </c>
      <c r="N39" s="156" t="str">
        <f t="shared" si="7"/>
        <v/>
      </c>
      <c r="O39" s="156" t="str">
        <f t="shared" si="12"/>
        <v/>
      </c>
      <c r="P39" s="155" t="str">
        <f t="shared" si="8"/>
        <v/>
      </c>
      <c r="Q39" s="208" t="str">
        <f t="shared" si="9"/>
        <v/>
      </c>
      <c r="R39" s="208" t="str">
        <f t="shared" si="10"/>
        <v/>
      </c>
      <c r="S39" s="208" t="str">
        <f t="shared" si="11"/>
        <v/>
      </c>
      <c r="T39" s="155"/>
      <c r="U39" s="155"/>
      <c r="V39" s="170" t="s">
        <v>220</v>
      </c>
      <c r="W39" s="170">
        <v>4</v>
      </c>
    </row>
    <row r="40" spans="2:34" s="170" customFormat="1" ht="15">
      <c r="B40" s="200">
        <v>2</v>
      </c>
      <c r="C40" s="201">
        <f t="shared" si="3"/>
        <v>25</v>
      </c>
      <c r="D40" s="201">
        <f t="shared" si="4"/>
        <v>1</v>
      </c>
      <c r="E40" s="201" t="str">
        <f t="shared" si="5"/>
        <v>2251</v>
      </c>
      <c r="F40" s="201" t="s">
        <v>186</v>
      </c>
      <c r="G40" s="201" t="s">
        <v>215</v>
      </c>
      <c r="H40" s="203" t="s">
        <v>66</v>
      </c>
      <c r="I40" s="204" t="s">
        <v>85</v>
      </c>
      <c r="J40" s="205">
        <v>0.84745762711864414</v>
      </c>
      <c r="K40" s="171" t="s">
        <v>221</v>
      </c>
      <c r="M40" s="208" t="str">
        <f t="shared" si="6"/>
        <v/>
      </c>
      <c r="N40" s="156">
        <f t="shared" si="7"/>
        <v>0.84745762711864414</v>
      </c>
      <c r="O40" s="156" t="str">
        <f t="shared" si="12"/>
        <v/>
      </c>
      <c r="P40" s="155" t="str">
        <f t="shared" si="8"/>
        <v/>
      </c>
      <c r="Q40" s="208" t="str">
        <f t="shared" si="9"/>
        <v/>
      </c>
      <c r="R40" s="208" t="str">
        <f t="shared" si="10"/>
        <v/>
      </c>
      <c r="S40" s="208" t="str">
        <f t="shared" si="11"/>
        <v/>
      </c>
      <c r="T40" s="155"/>
      <c r="U40" s="155"/>
      <c r="V40" s="170" t="s">
        <v>220</v>
      </c>
      <c r="W40" s="171" t="s">
        <v>222</v>
      </c>
    </row>
    <row r="41" spans="2:34" s="170" customFormat="1" ht="15">
      <c r="B41" s="200">
        <v>2</v>
      </c>
      <c r="C41" s="201">
        <f t="shared" si="3"/>
        <v>25</v>
      </c>
      <c r="D41" s="201">
        <f t="shared" si="4"/>
        <v>4</v>
      </c>
      <c r="E41" s="201" t="str">
        <f t="shared" si="5"/>
        <v>2254</v>
      </c>
      <c r="F41" s="201" t="s">
        <v>186</v>
      </c>
      <c r="G41" s="201" t="s">
        <v>215</v>
      </c>
      <c r="H41" s="203" t="s">
        <v>66</v>
      </c>
      <c r="I41" s="204" t="s">
        <v>87</v>
      </c>
      <c r="J41" s="205">
        <v>0</v>
      </c>
      <c r="K41" s="171" t="s">
        <v>221</v>
      </c>
      <c r="L41" s="172" t="s">
        <v>223</v>
      </c>
      <c r="M41" s="208" t="str">
        <f t="shared" si="6"/>
        <v/>
      </c>
      <c r="N41" s="156" t="str">
        <f t="shared" si="7"/>
        <v/>
      </c>
      <c r="O41" s="156" t="str">
        <f t="shared" si="12"/>
        <v/>
      </c>
      <c r="P41" s="155" t="str">
        <f t="shared" si="8"/>
        <v/>
      </c>
      <c r="Q41" s="208">
        <f t="shared" si="9"/>
        <v>0</v>
      </c>
      <c r="R41" s="208" t="str">
        <f t="shared" si="10"/>
        <v/>
      </c>
      <c r="S41" s="208" t="str">
        <f t="shared" si="11"/>
        <v/>
      </c>
      <c r="T41" s="155"/>
      <c r="U41" s="155"/>
      <c r="V41" s="170" t="s">
        <v>220</v>
      </c>
      <c r="W41" s="171" t="s">
        <v>221</v>
      </c>
    </row>
    <row r="42" spans="2:34" s="170" customFormat="1" ht="15">
      <c r="B42" s="200">
        <v>2</v>
      </c>
      <c r="C42" s="201">
        <f t="shared" ref="C42:C75" si="13">VLOOKUP(F42,Entidad_Pago,2,1)</f>
        <v>25</v>
      </c>
      <c r="D42" s="201">
        <f t="shared" ref="D42:D75" si="14">VLOOKUP(I42,Modalidad_Pago,2,1)</f>
        <v>7</v>
      </c>
      <c r="E42" s="201" t="str">
        <f t="shared" si="5"/>
        <v>2257</v>
      </c>
      <c r="F42" s="201" t="s">
        <v>186</v>
      </c>
      <c r="G42" s="201" t="s">
        <v>215</v>
      </c>
      <c r="H42" s="203" t="s">
        <v>66</v>
      </c>
      <c r="I42" s="204" t="s">
        <v>73</v>
      </c>
      <c r="J42" s="205">
        <v>1.6949152542372883</v>
      </c>
      <c r="K42" s="171" t="s">
        <v>222</v>
      </c>
      <c r="M42" s="208">
        <f t="shared" si="6"/>
        <v>1.6949152542372883</v>
      </c>
      <c r="N42" s="156" t="str">
        <f t="shared" si="7"/>
        <v/>
      </c>
      <c r="O42" s="156" t="str">
        <f t="shared" si="12"/>
        <v/>
      </c>
      <c r="P42" s="155" t="str">
        <f t="shared" si="8"/>
        <v/>
      </c>
      <c r="Q42" s="208" t="str">
        <f t="shared" si="9"/>
        <v/>
      </c>
      <c r="R42" s="208" t="str">
        <f t="shared" si="10"/>
        <v/>
      </c>
      <c r="S42" s="208" t="str">
        <f t="shared" si="11"/>
        <v/>
      </c>
      <c r="T42" s="155"/>
      <c r="U42" s="155"/>
      <c r="V42" s="170" t="s">
        <v>220</v>
      </c>
      <c r="W42" s="171" t="s">
        <v>224</v>
      </c>
    </row>
    <row r="43" spans="2:34" s="49" customFormat="1" ht="15">
      <c r="B43" s="200">
        <v>2</v>
      </c>
      <c r="C43" s="201">
        <f t="shared" si="13"/>
        <v>25</v>
      </c>
      <c r="D43" s="201">
        <f t="shared" si="14"/>
        <v>7</v>
      </c>
      <c r="E43" s="201" t="str">
        <f t="shared" si="5"/>
        <v>2257</v>
      </c>
      <c r="F43" s="201" t="s">
        <v>186</v>
      </c>
      <c r="G43" s="201" t="s">
        <v>215</v>
      </c>
      <c r="H43" s="203" t="s">
        <v>66</v>
      </c>
      <c r="I43" s="204" t="s">
        <v>73</v>
      </c>
      <c r="J43" s="206">
        <v>1.6949152542372883</v>
      </c>
      <c r="K43" s="171" t="s">
        <v>221</v>
      </c>
      <c r="M43" s="208">
        <f t="shared" si="6"/>
        <v>1.6949152542372883</v>
      </c>
      <c r="N43" s="156" t="str">
        <f t="shared" si="7"/>
        <v/>
      </c>
      <c r="O43" s="156" t="str">
        <f t="shared" si="12"/>
        <v/>
      </c>
      <c r="P43" s="155" t="str">
        <f t="shared" si="8"/>
        <v/>
      </c>
      <c r="Q43" s="208" t="str">
        <f t="shared" si="9"/>
        <v/>
      </c>
      <c r="R43" s="208" t="str">
        <f t="shared" si="10"/>
        <v/>
      </c>
      <c r="S43" s="208" t="str">
        <f t="shared" si="11"/>
        <v/>
      </c>
      <c r="T43" s="155"/>
      <c r="U43" s="155"/>
    </row>
    <row r="44" spans="2:34" s="49" customFormat="1" ht="15">
      <c r="B44" s="200">
        <v>2</v>
      </c>
      <c r="C44" s="201">
        <f t="shared" si="13"/>
        <v>36</v>
      </c>
      <c r="D44" s="201">
        <f t="shared" si="14"/>
        <v>7</v>
      </c>
      <c r="E44" s="201" t="str">
        <f t="shared" si="5"/>
        <v>2367</v>
      </c>
      <c r="F44" s="201" t="s">
        <v>187</v>
      </c>
      <c r="G44" s="201" t="s">
        <v>215</v>
      </c>
      <c r="H44" s="203" t="s">
        <v>66</v>
      </c>
      <c r="I44" s="204" t="s">
        <v>73</v>
      </c>
      <c r="J44" s="206">
        <v>1.6949152542372883</v>
      </c>
      <c r="K44" s="173">
        <v>1</v>
      </c>
      <c r="M44" s="208">
        <f t="shared" si="6"/>
        <v>1.6949152542372883</v>
      </c>
      <c r="N44" s="156" t="str">
        <f t="shared" si="7"/>
        <v/>
      </c>
      <c r="O44" s="156" t="str">
        <f t="shared" si="12"/>
        <v/>
      </c>
      <c r="P44" s="155" t="str">
        <f t="shared" si="8"/>
        <v/>
      </c>
      <c r="Q44" s="208" t="str">
        <f t="shared" si="9"/>
        <v/>
      </c>
      <c r="R44" s="208" t="str">
        <f t="shared" si="10"/>
        <v/>
      </c>
      <c r="S44" s="208" t="str">
        <f t="shared" si="11"/>
        <v/>
      </c>
      <c r="T44" s="155"/>
      <c r="U44" s="155"/>
    </row>
    <row r="45" spans="2:34" s="49" customFormat="1" ht="15">
      <c r="B45" s="200">
        <v>2</v>
      </c>
      <c r="C45" s="201">
        <f t="shared" ref="C45" si="15">VLOOKUP(F45,Entidad_Pago,2,1)</f>
        <v>36</v>
      </c>
      <c r="D45" s="201">
        <f t="shared" ref="D45" si="16">VLOOKUP(I45,Modalidad_Pago,2,1)</f>
        <v>2</v>
      </c>
      <c r="E45" s="201" t="str">
        <f t="shared" si="5"/>
        <v>2362</v>
      </c>
      <c r="F45" s="201" t="s">
        <v>187</v>
      </c>
      <c r="G45" s="201" t="s">
        <v>215</v>
      </c>
      <c r="H45" s="203" t="s">
        <v>66</v>
      </c>
      <c r="I45" s="204" t="s">
        <v>168</v>
      </c>
      <c r="J45" s="206">
        <v>1.6949152542372883</v>
      </c>
      <c r="K45" s="173"/>
      <c r="M45" s="208" t="str">
        <f t="shared" si="6"/>
        <v/>
      </c>
      <c r="N45" s="156" t="str">
        <f t="shared" si="7"/>
        <v/>
      </c>
      <c r="O45" s="156" t="str">
        <f t="shared" si="12"/>
        <v/>
      </c>
      <c r="P45" s="155"/>
      <c r="Q45" s="208" t="str">
        <f t="shared" si="9"/>
        <v/>
      </c>
      <c r="R45" s="208" t="str">
        <f t="shared" si="10"/>
        <v/>
      </c>
      <c r="S45" s="208" t="str">
        <f t="shared" si="11"/>
        <v/>
      </c>
      <c r="T45" s="155"/>
      <c r="U45" s="155"/>
    </row>
    <row r="46" spans="2:34" s="49" customFormat="1" ht="15">
      <c r="B46" s="200">
        <v>2</v>
      </c>
      <c r="C46" s="201">
        <f t="shared" ref="C46" si="17">VLOOKUP(F46,Entidad_Pago,2,1)</f>
        <v>36</v>
      </c>
      <c r="D46" s="201">
        <f t="shared" ref="D46" si="18">VLOOKUP(I46,Modalidad_Pago,2,1)</f>
        <v>5</v>
      </c>
      <c r="E46" s="201" t="str">
        <f t="shared" si="5"/>
        <v>2365</v>
      </c>
      <c r="F46" s="201" t="s">
        <v>187</v>
      </c>
      <c r="G46" s="201" t="s">
        <v>215</v>
      </c>
      <c r="H46" s="203" t="s">
        <v>66</v>
      </c>
      <c r="I46" s="204" t="s">
        <v>88</v>
      </c>
      <c r="J46" s="206">
        <v>1.6949152542372883</v>
      </c>
      <c r="K46" s="173"/>
      <c r="M46" s="208" t="str">
        <f t="shared" si="6"/>
        <v/>
      </c>
      <c r="N46" s="156" t="str">
        <f t="shared" si="7"/>
        <v/>
      </c>
      <c r="O46" s="156" t="str">
        <f t="shared" si="12"/>
        <v/>
      </c>
      <c r="P46" s="155" t="str">
        <f t="shared" si="8"/>
        <v/>
      </c>
      <c r="Q46" s="208" t="str">
        <f t="shared" si="9"/>
        <v/>
      </c>
      <c r="R46" s="208" t="str">
        <f t="shared" si="10"/>
        <v/>
      </c>
      <c r="S46" s="208" t="str">
        <f t="shared" si="11"/>
        <v/>
      </c>
      <c r="T46" s="155"/>
      <c r="U46" s="155"/>
    </row>
    <row r="47" spans="2:34" s="49" customFormat="1" ht="15">
      <c r="B47" s="200">
        <v>2</v>
      </c>
      <c r="C47" s="201">
        <f t="shared" si="13"/>
        <v>36</v>
      </c>
      <c r="D47" s="201">
        <f t="shared" si="14"/>
        <v>4</v>
      </c>
      <c r="E47" s="201" t="str">
        <f t="shared" si="5"/>
        <v>2364</v>
      </c>
      <c r="F47" s="201" t="s">
        <v>187</v>
      </c>
      <c r="G47" s="201" t="s">
        <v>215</v>
      </c>
      <c r="H47" s="203" t="s">
        <v>66</v>
      </c>
      <c r="I47" s="204" t="s">
        <v>87</v>
      </c>
      <c r="J47" s="205">
        <v>0.84745762711864414</v>
      </c>
      <c r="K47" s="173">
        <v>0</v>
      </c>
      <c r="M47" s="208" t="str">
        <f t="shared" si="6"/>
        <v/>
      </c>
      <c r="N47" s="156" t="str">
        <f t="shared" si="7"/>
        <v/>
      </c>
      <c r="O47" s="156" t="str">
        <f t="shared" si="12"/>
        <v/>
      </c>
      <c r="P47" s="155" t="str">
        <f t="shared" si="8"/>
        <v/>
      </c>
      <c r="Q47" s="208">
        <f t="shared" si="9"/>
        <v>0.84745762711864414</v>
      </c>
      <c r="R47" s="208" t="str">
        <f t="shared" si="10"/>
        <v/>
      </c>
      <c r="S47" s="208" t="str">
        <f t="shared" si="11"/>
        <v/>
      </c>
      <c r="T47" s="155"/>
      <c r="U47" s="155"/>
    </row>
    <row r="48" spans="2:34" s="49" customFormat="1" ht="15">
      <c r="B48" s="200">
        <v>2</v>
      </c>
      <c r="C48" s="201">
        <f t="shared" si="13"/>
        <v>36</v>
      </c>
      <c r="D48" s="201">
        <f t="shared" si="14"/>
        <v>5</v>
      </c>
      <c r="E48" s="201" t="str">
        <f t="shared" si="5"/>
        <v>2365</v>
      </c>
      <c r="F48" s="201" t="s">
        <v>187</v>
      </c>
      <c r="G48" s="201" t="s">
        <v>215</v>
      </c>
      <c r="H48" s="203" t="s">
        <v>66</v>
      </c>
      <c r="I48" s="204" t="s">
        <v>89</v>
      </c>
      <c r="J48" s="205">
        <v>0.84745762711864414</v>
      </c>
      <c r="K48" s="173">
        <v>1</v>
      </c>
      <c r="M48" s="208" t="str">
        <f t="shared" si="6"/>
        <v/>
      </c>
      <c r="N48" s="156" t="str">
        <f t="shared" si="7"/>
        <v/>
      </c>
      <c r="O48" s="156" t="str">
        <f t="shared" si="12"/>
        <v/>
      </c>
      <c r="P48" s="155" t="str">
        <f t="shared" si="8"/>
        <v/>
      </c>
      <c r="Q48" s="208" t="str">
        <f t="shared" si="9"/>
        <v/>
      </c>
      <c r="R48" s="208" t="str">
        <f t="shared" si="10"/>
        <v/>
      </c>
      <c r="S48" s="208">
        <f t="shared" si="11"/>
        <v>0.84745762711864414</v>
      </c>
      <c r="T48" s="155"/>
      <c r="U48" s="155"/>
    </row>
    <row r="49" spans="2:21" s="12" customFormat="1" ht="15">
      <c r="B49" s="174">
        <v>3</v>
      </c>
      <c r="C49" s="174">
        <f t="shared" si="13"/>
        <v>4</v>
      </c>
      <c r="D49" s="174">
        <f t="shared" si="14"/>
        <v>6</v>
      </c>
      <c r="E49" s="174" t="str">
        <f t="shared" si="5"/>
        <v>346</v>
      </c>
      <c r="F49" s="167" t="s">
        <v>188</v>
      </c>
      <c r="G49" s="167" t="s">
        <v>215</v>
      </c>
      <c r="H49" s="167" t="s">
        <v>66</v>
      </c>
      <c r="I49" s="167" t="s">
        <v>195</v>
      </c>
      <c r="J49" s="175">
        <f>IF(I49="Ventanilla",$M$5,IF(I49="Agente",$N$5,IF(I49="Crédito",$P$5,IF(I49="Débito",$O$5,IF(I49="Internet",$Q$5,IF(I49="Todos los Canales",$R$5,$S$5))))))</f>
        <v>1.8</v>
      </c>
      <c r="K49" s="167"/>
      <c r="L49" s="176" t="s">
        <v>225</v>
      </c>
      <c r="M49" s="208"/>
      <c r="N49" s="156"/>
      <c r="O49" s="156"/>
      <c r="P49" s="155"/>
      <c r="Q49" s="208"/>
      <c r="R49" s="208"/>
      <c r="S49" s="208" t="str">
        <f t="shared" si="11"/>
        <v/>
      </c>
      <c r="T49" s="155"/>
      <c r="U49" s="155"/>
    </row>
    <row r="50" spans="2:21" s="177" customFormat="1" ht="15">
      <c r="B50" s="174">
        <v>3</v>
      </c>
      <c r="C50" s="174">
        <f t="shared" si="13"/>
        <v>5</v>
      </c>
      <c r="D50" s="174">
        <f t="shared" si="14"/>
        <v>6</v>
      </c>
      <c r="E50" s="174" t="str">
        <f t="shared" si="5"/>
        <v>356</v>
      </c>
      <c r="F50" s="162" t="s">
        <v>108</v>
      </c>
      <c r="G50" s="162" t="s">
        <v>215</v>
      </c>
      <c r="H50" s="162" t="s">
        <v>66</v>
      </c>
      <c r="I50" s="167" t="s">
        <v>195</v>
      </c>
      <c r="J50" s="175">
        <f t="shared" ref="J50:J61" si="19">IF(I50="Ventanilla",$M$5,IF(I50="Agente",$N$5,IF(I50="Crédito",$P$5,IF(I50="Débito",$O$5,IF(I50="Internet",$Q$5,IF(I50="Todos los Canales",$R$5,$S$5))))))</f>
        <v>1.8</v>
      </c>
      <c r="K50" s="167"/>
      <c r="L50" s="172" t="s">
        <v>226</v>
      </c>
      <c r="M50" s="208"/>
      <c r="N50" s="156"/>
      <c r="O50" s="156"/>
      <c r="P50" s="155"/>
      <c r="Q50" s="208"/>
      <c r="R50" s="208"/>
      <c r="S50" s="208" t="str">
        <f t="shared" si="11"/>
        <v/>
      </c>
      <c r="T50" s="155"/>
      <c r="U50" s="155"/>
    </row>
    <row r="51" spans="2:21" s="177" customFormat="1" ht="15">
      <c r="B51" s="174">
        <v>3</v>
      </c>
      <c r="C51" s="174">
        <f t="shared" si="13"/>
        <v>6</v>
      </c>
      <c r="D51" s="174">
        <f t="shared" si="14"/>
        <v>6</v>
      </c>
      <c r="E51" s="174" t="str">
        <f t="shared" si="5"/>
        <v>366</v>
      </c>
      <c r="F51" s="159" t="s">
        <v>109</v>
      </c>
      <c r="G51" s="162" t="s">
        <v>215</v>
      </c>
      <c r="H51" s="162" t="s">
        <v>66</v>
      </c>
      <c r="I51" s="167" t="s">
        <v>195</v>
      </c>
      <c r="J51" s="175">
        <f t="shared" si="19"/>
        <v>1.8</v>
      </c>
      <c r="K51" s="167"/>
      <c r="M51" s="208"/>
      <c r="N51" s="156"/>
      <c r="O51" s="156"/>
      <c r="P51" s="155"/>
      <c r="Q51" s="208"/>
      <c r="R51" s="208"/>
      <c r="S51" s="208" t="str">
        <f t="shared" si="11"/>
        <v/>
      </c>
      <c r="T51" s="155"/>
      <c r="U51" s="155"/>
    </row>
    <row r="52" spans="2:21" s="177" customFormat="1" ht="15">
      <c r="B52" s="174">
        <v>3</v>
      </c>
      <c r="C52" s="174">
        <f t="shared" si="13"/>
        <v>7</v>
      </c>
      <c r="D52" s="174">
        <f t="shared" si="14"/>
        <v>6</v>
      </c>
      <c r="E52" s="174" t="str">
        <f t="shared" si="5"/>
        <v>376</v>
      </c>
      <c r="F52" s="161" t="s">
        <v>189</v>
      </c>
      <c r="G52" s="162" t="s">
        <v>215</v>
      </c>
      <c r="H52" s="162" t="s">
        <v>66</v>
      </c>
      <c r="I52" s="167" t="s">
        <v>195</v>
      </c>
      <c r="J52" s="175">
        <f t="shared" si="19"/>
        <v>1.8</v>
      </c>
      <c r="K52" s="167"/>
      <c r="M52" s="208"/>
      <c r="N52" s="156"/>
      <c r="O52" s="156"/>
      <c r="P52" s="155"/>
      <c r="Q52" s="208"/>
      <c r="R52" s="208"/>
      <c r="S52" s="208" t="str">
        <f t="shared" si="11"/>
        <v/>
      </c>
      <c r="T52" s="155"/>
      <c r="U52" s="155"/>
    </row>
    <row r="53" spans="2:21" s="177" customFormat="1" ht="15">
      <c r="B53" s="174">
        <v>3</v>
      </c>
      <c r="C53" s="174">
        <f t="shared" si="13"/>
        <v>16</v>
      </c>
      <c r="D53" s="174">
        <f t="shared" si="14"/>
        <v>3</v>
      </c>
      <c r="E53" s="174" t="str">
        <f t="shared" si="5"/>
        <v>3163</v>
      </c>
      <c r="F53" s="162" t="s">
        <v>176</v>
      </c>
      <c r="G53" s="162" t="s">
        <v>213</v>
      </c>
      <c r="H53" s="162" t="s">
        <v>66</v>
      </c>
      <c r="I53" s="167" t="s">
        <v>167</v>
      </c>
      <c r="J53" s="178">
        <f t="shared" si="19"/>
        <v>3.3642857142857148E-2</v>
      </c>
      <c r="K53" s="167"/>
      <c r="M53" s="208"/>
      <c r="N53" s="156"/>
      <c r="O53" s="156"/>
      <c r="P53" s="155"/>
      <c r="Q53" s="208"/>
      <c r="R53" s="208"/>
      <c r="S53" s="208" t="str">
        <f t="shared" si="11"/>
        <v/>
      </c>
      <c r="T53" s="155"/>
      <c r="U53" s="155"/>
    </row>
    <row r="54" spans="2:21" s="177" customFormat="1" ht="15">
      <c r="B54" s="179">
        <v>3</v>
      </c>
      <c r="C54" s="179">
        <f t="shared" si="13"/>
        <v>18</v>
      </c>
      <c r="D54" s="179">
        <f t="shared" si="14"/>
        <v>6</v>
      </c>
      <c r="E54" s="179" t="str">
        <f t="shared" si="5"/>
        <v>3186</v>
      </c>
      <c r="F54" s="159" t="s">
        <v>191</v>
      </c>
      <c r="G54" s="162" t="s">
        <v>215</v>
      </c>
      <c r="H54" s="162" t="s">
        <v>66</v>
      </c>
      <c r="I54" s="167" t="s">
        <v>195</v>
      </c>
      <c r="J54" s="175">
        <f t="shared" si="19"/>
        <v>1.8</v>
      </c>
      <c r="K54" s="167"/>
      <c r="M54" s="208"/>
      <c r="N54" s="156"/>
      <c r="O54" s="156"/>
      <c r="P54" s="155"/>
      <c r="Q54" s="208"/>
      <c r="R54" s="208"/>
      <c r="S54" s="208" t="str">
        <f t="shared" si="11"/>
        <v/>
      </c>
      <c r="T54" s="155"/>
      <c r="U54" s="155"/>
    </row>
    <row r="55" spans="2:21" s="177" customFormat="1" ht="15">
      <c r="B55" s="179">
        <v>3</v>
      </c>
      <c r="C55" s="179">
        <f t="shared" si="13"/>
        <v>20</v>
      </c>
      <c r="D55" s="179">
        <f t="shared" si="14"/>
        <v>6</v>
      </c>
      <c r="E55" s="179" t="str">
        <f t="shared" si="5"/>
        <v>3206</v>
      </c>
      <c r="F55" s="161" t="s">
        <v>190</v>
      </c>
      <c r="G55" s="162" t="s">
        <v>215</v>
      </c>
      <c r="H55" s="162" t="s">
        <v>66</v>
      </c>
      <c r="I55" s="167" t="s">
        <v>195</v>
      </c>
      <c r="J55" s="175">
        <f t="shared" si="19"/>
        <v>1.8</v>
      </c>
      <c r="K55" s="167"/>
      <c r="M55" s="208"/>
      <c r="N55" s="156"/>
      <c r="O55" s="156"/>
      <c r="P55" s="155"/>
      <c r="Q55" s="208"/>
      <c r="R55" s="208"/>
      <c r="S55" s="208" t="str">
        <f t="shared" si="11"/>
        <v/>
      </c>
      <c r="T55" s="155"/>
      <c r="U55" s="155"/>
    </row>
    <row r="56" spans="2:21" s="177" customFormat="1" ht="15">
      <c r="B56" s="179">
        <v>3</v>
      </c>
      <c r="C56" s="179">
        <f t="shared" si="13"/>
        <v>25</v>
      </c>
      <c r="D56" s="179">
        <f t="shared" si="14"/>
        <v>6</v>
      </c>
      <c r="E56" s="179" t="str">
        <f t="shared" si="5"/>
        <v>3256</v>
      </c>
      <c r="F56" s="162" t="s">
        <v>186</v>
      </c>
      <c r="G56" s="162" t="s">
        <v>215</v>
      </c>
      <c r="H56" s="162" t="s">
        <v>66</v>
      </c>
      <c r="I56" s="167" t="s">
        <v>195</v>
      </c>
      <c r="J56" s="175">
        <f t="shared" si="19"/>
        <v>1.8</v>
      </c>
      <c r="K56" s="167"/>
      <c r="M56" s="208"/>
      <c r="N56" s="156"/>
      <c r="O56" s="156"/>
      <c r="P56" s="155"/>
      <c r="Q56" s="208"/>
      <c r="R56" s="208"/>
      <c r="S56" s="208" t="str">
        <f t="shared" si="11"/>
        <v/>
      </c>
      <c r="T56" s="155"/>
      <c r="U56" s="155"/>
    </row>
    <row r="57" spans="2:21" s="177" customFormat="1" ht="15">
      <c r="B57" s="174">
        <v>3</v>
      </c>
      <c r="C57" s="174">
        <f t="shared" si="13"/>
        <v>30</v>
      </c>
      <c r="D57" s="174">
        <f t="shared" si="14"/>
        <v>3</v>
      </c>
      <c r="E57" s="174" t="str">
        <f t="shared" si="5"/>
        <v>3303</v>
      </c>
      <c r="F57" s="159" t="s">
        <v>175</v>
      </c>
      <c r="G57" s="162" t="s">
        <v>213</v>
      </c>
      <c r="H57" s="162" t="s">
        <v>66</v>
      </c>
      <c r="I57" s="167" t="s">
        <v>167</v>
      </c>
      <c r="J57" s="178">
        <f t="shared" si="19"/>
        <v>3.3642857142857148E-2</v>
      </c>
      <c r="K57" s="167"/>
      <c r="M57" s="208"/>
      <c r="N57" s="156"/>
      <c r="O57" s="156"/>
      <c r="P57" s="155"/>
      <c r="Q57" s="208"/>
      <c r="R57" s="208"/>
      <c r="S57" s="208" t="str">
        <f t="shared" si="11"/>
        <v/>
      </c>
      <c r="T57" s="155"/>
      <c r="U57" s="155"/>
    </row>
    <row r="58" spans="2:21" s="12" customFormat="1" ht="15">
      <c r="B58" s="179">
        <v>3</v>
      </c>
      <c r="C58" s="179">
        <f t="shared" si="13"/>
        <v>33</v>
      </c>
      <c r="D58" s="179">
        <f t="shared" si="14"/>
        <v>7</v>
      </c>
      <c r="E58" s="179" t="str">
        <f t="shared" si="5"/>
        <v>3337</v>
      </c>
      <c r="F58" s="161" t="s">
        <v>16</v>
      </c>
      <c r="G58" s="162" t="s">
        <v>212</v>
      </c>
      <c r="H58" s="162" t="s">
        <v>66</v>
      </c>
      <c r="I58" s="167" t="s">
        <v>73</v>
      </c>
      <c r="J58" s="180">
        <f t="shared" si="19"/>
        <v>1.1967840069534985</v>
      </c>
      <c r="K58" s="167"/>
      <c r="M58" s="208"/>
      <c r="N58" s="156"/>
      <c r="O58" s="156"/>
      <c r="P58" s="155"/>
      <c r="Q58" s="208"/>
      <c r="R58" s="208"/>
      <c r="S58" s="208" t="str">
        <f t="shared" si="11"/>
        <v/>
      </c>
      <c r="T58" s="155"/>
      <c r="U58" s="155"/>
    </row>
    <row r="59" spans="2:21" s="12" customFormat="1" ht="15">
      <c r="B59" s="179">
        <v>3</v>
      </c>
      <c r="C59" s="179">
        <f t="shared" si="13"/>
        <v>36</v>
      </c>
      <c r="D59" s="179">
        <f t="shared" si="14"/>
        <v>6</v>
      </c>
      <c r="E59" s="179" t="str">
        <f t="shared" si="5"/>
        <v>3366</v>
      </c>
      <c r="F59" s="167" t="s">
        <v>187</v>
      </c>
      <c r="G59" s="167" t="s">
        <v>215</v>
      </c>
      <c r="H59" s="167" t="s">
        <v>66</v>
      </c>
      <c r="I59" s="167" t="s">
        <v>195</v>
      </c>
      <c r="J59" s="175">
        <f t="shared" si="19"/>
        <v>1.8</v>
      </c>
      <c r="K59" s="167"/>
      <c r="M59" s="208"/>
      <c r="N59" s="156"/>
      <c r="O59" s="156"/>
      <c r="P59" s="155"/>
      <c r="Q59" s="208"/>
      <c r="R59" s="208"/>
      <c r="S59" s="208" t="str">
        <f t="shared" si="11"/>
        <v/>
      </c>
      <c r="T59" s="155"/>
      <c r="U59" s="155"/>
    </row>
    <row r="60" spans="2:21" s="12" customFormat="1" ht="15">
      <c r="B60" s="174">
        <v>3</v>
      </c>
      <c r="C60" s="174">
        <f t="shared" si="13"/>
        <v>37</v>
      </c>
      <c r="D60" s="174">
        <f t="shared" si="14"/>
        <v>3</v>
      </c>
      <c r="E60" s="174" t="str">
        <f t="shared" si="5"/>
        <v>3373</v>
      </c>
      <c r="F60" s="167" t="s">
        <v>174</v>
      </c>
      <c r="G60" s="167" t="s">
        <v>213</v>
      </c>
      <c r="H60" s="162" t="s">
        <v>66</v>
      </c>
      <c r="I60" s="167" t="s">
        <v>167</v>
      </c>
      <c r="J60" s="178">
        <f t="shared" si="19"/>
        <v>3.3642857142857148E-2</v>
      </c>
      <c r="K60" s="167"/>
      <c r="M60" s="208"/>
      <c r="N60" s="156"/>
      <c r="O60" s="156"/>
      <c r="P60" s="155"/>
      <c r="Q60" s="208"/>
      <c r="R60" s="208"/>
      <c r="S60" s="208" t="str">
        <f t="shared" si="11"/>
        <v/>
      </c>
      <c r="T60" s="155"/>
      <c r="U60" s="155"/>
    </row>
    <row r="61" spans="2:21" s="12" customFormat="1" ht="15">
      <c r="B61" s="179">
        <v>3</v>
      </c>
      <c r="C61" s="179">
        <f t="shared" si="13"/>
        <v>38</v>
      </c>
      <c r="D61" s="179">
        <f t="shared" si="14"/>
        <v>6</v>
      </c>
      <c r="E61" s="179" t="str">
        <f t="shared" si="5"/>
        <v>3386</v>
      </c>
      <c r="F61" s="167" t="s">
        <v>181</v>
      </c>
      <c r="G61" s="167" t="s">
        <v>16</v>
      </c>
      <c r="H61" s="162" t="s">
        <v>66</v>
      </c>
      <c r="I61" s="167" t="s">
        <v>195</v>
      </c>
      <c r="J61" s="175">
        <f t="shared" si="19"/>
        <v>1.8</v>
      </c>
      <c r="K61" s="167"/>
      <c r="M61" s="208"/>
      <c r="N61" s="156"/>
      <c r="O61" s="156"/>
      <c r="P61" s="155"/>
      <c r="Q61" s="208"/>
      <c r="R61" s="208"/>
      <c r="S61" s="208" t="str">
        <f t="shared" si="11"/>
        <v/>
      </c>
      <c r="T61" s="155"/>
      <c r="U61" s="155"/>
    </row>
    <row r="62" spans="2:21" s="12" customFormat="1" ht="15">
      <c r="B62" s="174">
        <v>4</v>
      </c>
      <c r="C62" s="174">
        <f t="shared" si="13"/>
        <v>27</v>
      </c>
      <c r="D62" s="174">
        <f t="shared" si="14"/>
        <v>7</v>
      </c>
      <c r="E62" s="174" t="str">
        <f t="shared" si="5"/>
        <v>4277</v>
      </c>
      <c r="F62" s="167" t="s">
        <v>173</v>
      </c>
      <c r="G62" s="167" t="s">
        <v>227</v>
      </c>
      <c r="H62" s="167" t="s">
        <v>228</v>
      </c>
      <c r="I62" s="167" t="s">
        <v>73</v>
      </c>
      <c r="J62" s="181">
        <v>0.80500000000000005</v>
      </c>
      <c r="K62" s="167"/>
      <c r="M62" s="208">
        <f t="shared" si="6"/>
        <v>0.80500000000000005</v>
      </c>
      <c r="N62" s="156" t="str">
        <f t="shared" si="7"/>
        <v/>
      </c>
      <c r="O62" s="156" t="str">
        <f t="shared" si="12"/>
        <v/>
      </c>
      <c r="P62" s="155" t="str">
        <f t="shared" si="8"/>
        <v/>
      </c>
      <c r="Q62" s="208" t="str">
        <f t="shared" si="9"/>
        <v/>
      </c>
      <c r="R62" s="208" t="str">
        <f t="shared" si="10"/>
        <v/>
      </c>
      <c r="S62" s="208" t="str">
        <f t="shared" si="11"/>
        <v/>
      </c>
      <c r="T62" s="155"/>
      <c r="U62" s="155"/>
    </row>
    <row r="63" spans="2:21" s="12" customFormat="1" ht="15">
      <c r="B63" s="174">
        <v>4</v>
      </c>
      <c r="C63" s="174">
        <f t="shared" si="13"/>
        <v>1</v>
      </c>
      <c r="D63" s="174">
        <f t="shared" si="14"/>
        <v>7</v>
      </c>
      <c r="E63" s="174" t="str">
        <f t="shared" si="5"/>
        <v>417</v>
      </c>
      <c r="F63" s="167" t="s">
        <v>197</v>
      </c>
      <c r="G63" s="167" t="s">
        <v>227</v>
      </c>
      <c r="H63" s="167" t="s">
        <v>228</v>
      </c>
      <c r="I63" s="167" t="s">
        <v>73</v>
      </c>
      <c r="J63" s="182">
        <v>0.5</v>
      </c>
      <c r="K63" s="167"/>
      <c r="M63" s="208">
        <f t="shared" si="6"/>
        <v>0.5</v>
      </c>
      <c r="N63" s="156" t="str">
        <f t="shared" si="7"/>
        <v/>
      </c>
      <c r="O63" s="156" t="str">
        <f t="shared" si="12"/>
        <v/>
      </c>
      <c r="P63" s="155" t="str">
        <f t="shared" si="8"/>
        <v/>
      </c>
      <c r="Q63" s="208" t="str">
        <f t="shared" si="9"/>
        <v/>
      </c>
      <c r="R63" s="208" t="str">
        <f t="shared" si="10"/>
        <v/>
      </c>
      <c r="S63" s="208" t="str">
        <f t="shared" si="11"/>
        <v/>
      </c>
      <c r="T63" s="155"/>
      <c r="U63" s="155"/>
    </row>
    <row r="64" spans="2:21" s="12" customFormat="1" ht="25.5">
      <c r="B64" s="174">
        <v>4</v>
      </c>
      <c r="C64" s="174">
        <f t="shared" si="13"/>
        <v>3</v>
      </c>
      <c r="D64" s="174">
        <f t="shared" si="14"/>
        <v>7</v>
      </c>
      <c r="E64" s="174" t="str">
        <f t="shared" si="5"/>
        <v>437</v>
      </c>
      <c r="F64" s="167" t="s">
        <v>198</v>
      </c>
      <c r="G64" s="167" t="s">
        <v>229</v>
      </c>
      <c r="H64" s="183" t="s">
        <v>228</v>
      </c>
      <c r="I64" s="167" t="s">
        <v>73</v>
      </c>
      <c r="J64" s="182">
        <v>1</v>
      </c>
      <c r="K64" s="167"/>
      <c r="M64" s="208">
        <f t="shared" si="6"/>
        <v>1</v>
      </c>
      <c r="N64" s="156" t="str">
        <f t="shared" si="7"/>
        <v/>
      </c>
      <c r="O64" s="156" t="str">
        <f t="shared" si="12"/>
        <v/>
      </c>
      <c r="P64" s="155" t="str">
        <f t="shared" si="8"/>
        <v/>
      </c>
      <c r="Q64" s="208" t="str">
        <f t="shared" si="9"/>
        <v/>
      </c>
      <c r="R64" s="208" t="str">
        <f t="shared" si="10"/>
        <v/>
      </c>
      <c r="S64" s="208" t="str">
        <f t="shared" si="11"/>
        <v/>
      </c>
      <c r="T64" s="155"/>
      <c r="U64" s="155"/>
    </row>
    <row r="65" spans="2:21" s="12" customFormat="1" ht="15">
      <c r="B65" s="174">
        <v>4</v>
      </c>
      <c r="C65" s="174">
        <f t="shared" si="13"/>
        <v>10</v>
      </c>
      <c r="D65" s="174">
        <f t="shared" si="14"/>
        <v>7</v>
      </c>
      <c r="E65" s="174" t="str">
        <f t="shared" si="5"/>
        <v>4107</v>
      </c>
      <c r="F65" s="167" t="s">
        <v>90</v>
      </c>
      <c r="G65" s="167" t="s">
        <v>227</v>
      </c>
      <c r="H65" s="167" t="s">
        <v>228</v>
      </c>
      <c r="I65" s="167" t="s">
        <v>73</v>
      </c>
      <c r="J65" s="182">
        <v>1.35</v>
      </c>
      <c r="K65" s="167"/>
      <c r="M65" s="208">
        <f t="shared" si="6"/>
        <v>1.35</v>
      </c>
      <c r="N65" s="156" t="str">
        <f t="shared" si="7"/>
        <v/>
      </c>
      <c r="O65" s="156" t="str">
        <f t="shared" si="12"/>
        <v/>
      </c>
      <c r="P65" s="155" t="str">
        <f t="shared" si="8"/>
        <v/>
      </c>
      <c r="Q65" s="208" t="str">
        <f t="shared" si="9"/>
        <v/>
      </c>
      <c r="R65" s="208" t="str">
        <f t="shared" si="10"/>
        <v/>
      </c>
      <c r="S65" s="208" t="str">
        <f t="shared" si="11"/>
        <v/>
      </c>
      <c r="T65" s="155"/>
      <c r="U65" s="155"/>
    </row>
    <row r="66" spans="2:21" s="12" customFormat="1" ht="25.5">
      <c r="B66" s="174">
        <v>4</v>
      </c>
      <c r="C66" s="174">
        <f t="shared" si="13"/>
        <v>12</v>
      </c>
      <c r="D66" s="174">
        <f t="shared" si="14"/>
        <v>7</v>
      </c>
      <c r="E66" s="174" t="str">
        <f t="shared" si="5"/>
        <v>4127</v>
      </c>
      <c r="F66" s="183" t="s">
        <v>177</v>
      </c>
      <c r="G66" s="167" t="s">
        <v>230</v>
      </c>
      <c r="H66" s="183" t="s">
        <v>228</v>
      </c>
      <c r="I66" s="167" t="s">
        <v>73</v>
      </c>
      <c r="J66" s="182">
        <v>0.51</v>
      </c>
      <c r="K66" s="167"/>
      <c r="M66" s="208">
        <f t="shared" si="6"/>
        <v>0.51</v>
      </c>
      <c r="N66" s="156" t="str">
        <f t="shared" si="7"/>
        <v/>
      </c>
      <c r="O66" s="156" t="str">
        <f t="shared" si="12"/>
        <v/>
      </c>
      <c r="P66" s="155" t="str">
        <f t="shared" si="8"/>
        <v/>
      </c>
      <c r="Q66" s="208" t="str">
        <f t="shared" si="9"/>
        <v/>
      </c>
      <c r="R66" s="208" t="str">
        <f t="shared" si="10"/>
        <v/>
      </c>
      <c r="S66" s="208" t="str">
        <f t="shared" si="11"/>
        <v/>
      </c>
      <c r="T66" s="155"/>
      <c r="U66" s="155"/>
    </row>
    <row r="67" spans="2:21" s="12" customFormat="1" ht="15">
      <c r="B67" s="174">
        <v>4</v>
      </c>
      <c r="C67" s="174">
        <f t="shared" si="13"/>
        <v>13</v>
      </c>
      <c r="D67" s="174">
        <f t="shared" si="14"/>
        <v>7</v>
      </c>
      <c r="E67" s="174" t="str">
        <f t="shared" si="5"/>
        <v>4137</v>
      </c>
      <c r="F67" s="167" t="s">
        <v>170</v>
      </c>
      <c r="G67" s="167" t="s">
        <v>227</v>
      </c>
      <c r="H67" s="167" t="s">
        <v>228</v>
      </c>
      <c r="I67" s="167" t="s">
        <v>73</v>
      </c>
      <c r="J67" s="181">
        <v>0.80500000000000005</v>
      </c>
      <c r="K67" s="167"/>
      <c r="M67" s="208">
        <f t="shared" si="6"/>
        <v>0.80500000000000005</v>
      </c>
      <c r="N67" s="156" t="str">
        <f t="shared" si="7"/>
        <v/>
      </c>
      <c r="O67" s="156" t="str">
        <f t="shared" si="12"/>
        <v/>
      </c>
      <c r="P67" s="155" t="str">
        <f t="shared" si="8"/>
        <v/>
      </c>
      <c r="Q67" s="208" t="str">
        <f t="shared" si="9"/>
        <v/>
      </c>
      <c r="R67" s="208" t="str">
        <f t="shared" si="10"/>
        <v/>
      </c>
      <c r="S67" s="208" t="str">
        <f t="shared" si="11"/>
        <v/>
      </c>
      <c r="T67" s="155"/>
      <c r="U67" s="155"/>
    </row>
    <row r="68" spans="2:21" s="12" customFormat="1" ht="25.5">
      <c r="B68" s="174">
        <v>4</v>
      </c>
      <c r="C68" s="174">
        <f t="shared" si="13"/>
        <v>14</v>
      </c>
      <c r="D68" s="174">
        <f t="shared" si="14"/>
        <v>3</v>
      </c>
      <c r="E68" s="174" t="str">
        <f t="shared" si="5"/>
        <v>4143</v>
      </c>
      <c r="F68" s="183" t="s">
        <v>82</v>
      </c>
      <c r="G68" s="167" t="s">
        <v>213</v>
      </c>
      <c r="H68" s="183" t="s">
        <v>228</v>
      </c>
      <c r="I68" s="167" t="s">
        <v>86</v>
      </c>
      <c r="J68" s="184">
        <v>2.5000000000000001E-2</v>
      </c>
      <c r="K68" s="167"/>
      <c r="M68" s="208" t="str">
        <f t="shared" si="6"/>
        <v/>
      </c>
      <c r="N68" s="156" t="str">
        <f t="shared" si="7"/>
        <v/>
      </c>
      <c r="O68" s="156" t="str">
        <f t="shared" si="12"/>
        <v/>
      </c>
      <c r="P68" s="155" t="str">
        <f t="shared" si="8"/>
        <v/>
      </c>
      <c r="Q68" s="208" t="str">
        <f t="shared" si="9"/>
        <v/>
      </c>
      <c r="R68" s="208" t="str">
        <f t="shared" si="10"/>
        <v/>
      </c>
      <c r="S68" s="208" t="str">
        <f t="shared" si="11"/>
        <v/>
      </c>
      <c r="T68" s="155"/>
      <c r="U68" s="155"/>
    </row>
    <row r="69" spans="2:21" s="177" customFormat="1" ht="25.5">
      <c r="B69" s="174">
        <v>4</v>
      </c>
      <c r="C69" s="174">
        <f t="shared" si="13"/>
        <v>15</v>
      </c>
      <c r="D69" s="174">
        <f t="shared" si="14"/>
        <v>5</v>
      </c>
      <c r="E69" s="174" t="str">
        <f t="shared" si="5"/>
        <v>4155</v>
      </c>
      <c r="F69" s="167" t="s">
        <v>183</v>
      </c>
      <c r="G69" s="185" t="s">
        <v>231</v>
      </c>
      <c r="H69" s="183" t="s">
        <v>228</v>
      </c>
      <c r="I69" s="185" t="s">
        <v>89</v>
      </c>
      <c r="J69" s="182">
        <v>0.5</v>
      </c>
      <c r="K69" s="167"/>
      <c r="M69" s="208" t="str">
        <f t="shared" si="6"/>
        <v/>
      </c>
      <c r="N69" s="156" t="str">
        <f t="shared" si="7"/>
        <v/>
      </c>
      <c r="O69" s="156" t="str">
        <f t="shared" si="12"/>
        <v/>
      </c>
      <c r="P69" s="155" t="str">
        <f t="shared" si="8"/>
        <v/>
      </c>
      <c r="Q69" s="208" t="str">
        <f t="shared" si="9"/>
        <v/>
      </c>
      <c r="R69" s="208" t="str">
        <f t="shared" si="10"/>
        <v/>
      </c>
      <c r="S69" s="208">
        <f t="shared" si="11"/>
        <v>0.5</v>
      </c>
      <c r="T69" s="155"/>
      <c r="U69" s="155"/>
    </row>
    <row r="70" spans="2:21" s="177" customFormat="1" ht="25.5">
      <c r="B70" s="174">
        <v>4</v>
      </c>
      <c r="C70" s="174">
        <f t="shared" si="13"/>
        <v>16</v>
      </c>
      <c r="D70" s="174">
        <f t="shared" si="14"/>
        <v>3</v>
      </c>
      <c r="E70" s="174" t="str">
        <f t="shared" si="5"/>
        <v>4163</v>
      </c>
      <c r="F70" s="168" t="s">
        <v>176</v>
      </c>
      <c r="G70" s="167" t="s">
        <v>213</v>
      </c>
      <c r="H70" s="183" t="s">
        <v>228</v>
      </c>
      <c r="I70" s="167" t="s">
        <v>86</v>
      </c>
      <c r="J70" s="184">
        <v>2.5000000000000001E-2</v>
      </c>
      <c r="K70" s="167"/>
      <c r="M70" s="208" t="str">
        <f t="shared" si="6"/>
        <v/>
      </c>
      <c r="N70" s="156" t="str">
        <f t="shared" si="7"/>
        <v/>
      </c>
      <c r="O70" s="156" t="str">
        <f t="shared" si="12"/>
        <v/>
      </c>
      <c r="P70" s="155" t="str">
        <f t="shared" si="8"/>
        <v/>
      </c>
      <c r="Q70" s="208" t="str">
        <f t="shared" si="9"/>
        <v/>
      </c>
      <c r="R70" s="208" t="str">
        <f t="shared" si="10"/>
        <v/>
      </c>
      <c r="S70" s="208" t="str">
        <f t="shared" si="11"/>
        <v/>
      </c>
      <c r="T70" s="155"/>
      <c r="U70" s="155"/>
    </row>
    <row r="71" spans="2:21" s="177" customFormat="1" ht="25.5">
      <c r="B71" s="179">
        <v>4</v>
      </c>
      <c r="C71" s="179">
        <f t="shared" si="13"/>
        <v>17</v>
      </c>
      <c r="D71" s="179">
        <f t="shared" si="14"/>
        <v>7</v>
      </c>
      <c r="E71" s="179" t="str">
        <f t="shared" si="5"/>
        <v>4177</v>
      </c>
      <c r="F71" s="162" t="s">
        <v>179</v>
      </c>
      <c r="G71" s="167" t="s">
        <v>232</v>
      </c>
      <c r="H71" s="183" t="s">
        <v>228</v>
      </c>
      <c r="I71" s="167" t="s">
        <v>73</v>
      </c>
      <c r="J71" s="182">
        <v>0.75</v>
      </c>
      <c r="K71" s="167"/>
      <c r="M71" s="208">
        <f t="shared" si="6"/>
        <v>0.75</v>
      </c>
      <c r="N71" s="156" t="str">
        <f t="shared" si="7"/>
        <v/>
      </c>
      <c r="O71" s="156" t="str">
        <f t="shared" si="12"/>
        <v/>
      </c>
      <c r="P71" s="155" t="str">
        <f t="shared" si="8"/>
        <v/>
      </c>
      <c r="Q71" s="208" t="str">
        <f t="shared" si="9"/>
        <v/>
      </c>
      <c r="R71" s="208" t="str">
        <f t="shared" si="10"/>
        <v/>
      </c>
      <c r="S71" s="208" t="str">
        <f t="shared" si="11"/>
        <v/>
      </c>
      <c r="T71" s="155"/>
      <c r="U71" s="155"/>
    </row>
    <row r="72" spans="2:21" s="177" customFormat="1" ht="15">
      <c r="B72" s="179">
        <v>4</v>
      </c>
      <c r="C72" s="179">
        <f t="shared" si="13"/>
        <v>21</v>
      </c>
      <c r="D72" s="179">
        <f t="shared" si="14"/>
        <v>7</v>
      </c>
      <c r="E72" s="179" t="str">
        <f t="shared" si="5"/>
        <v>4217</v>
      </c>
      <c r="F72" s="162" t="s">
        <v>171</v>
      </c>
      <c r="G72" s="167" t="s">
        <v>227</v>
      </c>
      <c r="H72" s="167" t="s">
        <v>228</v>
      </c>
      <c r="I72" s="167" t="s">
        <v>73</v>
      </c>
      <c r="J72" s="182">
        <v>0.5</v>
      </c>
      <c r="K72" s="167"/>
      <c r="M72" s="208">
        <f t="shared" si="6"/>
        <v>0.5</v>
      </c>
      <c r="N72" s="156" t="str">
        <f t="shared" si="7"/>
        <v/>
      </c>
      <c r="O72" s="156" t="str">
        <f t="shared" si="12"/>
        <v/>
      </c>
      <c r="P72" s="155" t="str">
        <f t="shared" si="8"/>
        <v/>
      </c>
      <c r="Q72" s="208" t="str">
        <f t="shared" si="9"/>
        <v/>
      </c>
      <c r="R72" s="208" t="str">
        <f t="shared" si="10"/>
        <v/>
      </c>
      <c r="S72" s="208" t="str">
        <f t="shared" si="11"/>
        <v/>
      </c>
      <c r="T72" s="155"/>
      <c r="U72" s="155"/>
    </row>
    <row r="73" spans="2:21" s="177" customFormat="1" ht="25.5">
      <c r="B73" s="179">
        <v>4</v>
      </c>
      <c r="C73" s="179">
        <f t="shared" si="13"/>
        <v>22</v>
      </c>
      <c r="D73" s="179">
        <f t="shared" si="14"/>
        <v>7</v>
      </c>
      <c r="E73" s="179" t="str">
        <f t="shared" si="5"/>
        <v>4227</v>
      </c>
      <c r="F73" s="162" t="s">
        <v>182</v>
      </c>
      <c r="G73" s="167" t="s">
        <v>233</v>
      </c>
      <c r="H73" s="183" t="s">
        <v>228</v>
      </c>
      <c r="I73" s="167" t="s">
        <v>73</v>
      </c>
      <c r="J73" s="182">
        <v>0.5</v>
      </c>
      <c r="K73" s="167"/>
      <c r="M73" s="208">
        <f t="shared" si="6"/>
        <v>0.5</v>
      </c>
      <c r="N73" s="156" t="str">
        <f t="shared" si="7"/>
        <v/>
      </c>
      <c r="O73" s="156" t="str">
        <f t="shared" si="12"/>
        <v/>
      </c>
      <c r="P73" s="155" t="str">
        <f t="shared" si="8"/>
        <v/>
      </c>
      <c r="Q73" s="208" t="str">
        <f t="shared" si="9"/>
        <v/>
      </c>
      <c r="R73" s="208" t="str">
        <f t="shared" si="10"/>
        <v/>
      </c>
      <c r="S73" s="208" t="str">
        <f t="shared" si="11"/>
        <v/>
      </c>
      <c r="T73" s="155"/>
      <c r="U73" s="155"/>
    </row>
    <row r="74" spans="2:21" s="177" customFormat="1" ht="25.5">
      <c r="B74" s="179">
        <v>4</v>
      </c>
      <c r="C74" s="179">
        <f t="shared" si="13"/>
        <v>24</v>
      </c>
      <c r="D74" s="179">
        <f t="shared" si="14"/>
        <v>7</v>
      </c>
      <c r="E74" s="179" t="str">
        <f t="shared" si="5"/>
        <v>4247</v>
      </c>
      <c r="F74" s="162" t="s">
        <v>180</v>
      </c>
      <c r="G74" s="167" t="s">
        <v>232</v>
      </c>
      <c r="H74" s="183" t="s">
        <v>228</v>
      </c>
      <c r="I74" s="167" t="s">
        <v>73</v>
      </c>
      <c r="J74" s="182">
        <v>0.5</v>
      </c>
      <c r="K74" s="167"/>
      <c r="M74" s="208">
        <f t="shared" si="6"/>
        <v>0.5</v>
      </c>
      <c r="N74" s="156" t="str">
        <f t="shared" si="7"/>
        <v/>
      </c>
      <c r="O74" s="156" t="str">
        <f t="shared" si="12"/>
        <v/>
      </c>
      <c r="P74" s="155" t="str">
        <f t="shared" si="8"/>
        <v/>
      </c>
      <c r="Q74" s="208" t="str">
        <f t="shared" si="9"/>
        <v/>
      </c>
      <c r="R74" s="208" t="str">
        <f t="shared" si="10"/>
        <v/>
      </c>
      <c r="S74" s="208" t="str">
        <f t="shared" si="11"/>
        <v/>
      </c>
      <c r="T74" s="155"/>
      <c r="U74" s="155"/>
    </row>
    <row r="75" spans="2:21" s="177" customFormat="1" ht="25.5">
      <c r="B75" s="174">
        <v>4</v>
      </c>
      <c r="C75" s="174">
        <f t="shared" si="13"/>
        <v>28</v>
      </c>
      <c r="D75" s="174">
        <f t="shared" si="14"/>
        <v>5</v>
      </c>
      <c r="E75" s="174" t="str">
        <f t="shared" si="5"/>
        <v>4285</v>
      </c>
      <c r="F75" s="162" t="s">
        <v>184</v>
      </c>
      <c r="G75" s="186" t="s">
        <v>231</v>
      </c>
      <c r="H75" s="168" t="s">
        <v>228</v>
      </c>
      <c r="I75" s="185" t="s">
        <v>89</v>
      </c>
      <c r="J75" s="182">
        <v>0.5</v>
      </c>
      <c r="K75" s="167"/>
      <c r="M75" s="208" t="str">
        <f t="shared" si="6"/>
        <v/>
      </c>
      <c r="N75" s="156" t="str">
        <f t="shared" si="7"/>
        <v/>
      </c>
      <c r="O75" s="156" t="str">
        <f t="shared" si="12"/>
        <v/>
      </c>
      <c r="P75" s="155" t="str">
        <f t="shared" si="8"/>
        <v/>
      </c>
      <c r="Q75" s="208" t="str">
        <f t="shared" si="9"/>
        <v/>
      </c>
      <c r="R75" s="208" t="str">
        <f t="shared" si="10"/>
        <v/>
      </c>
      <c r="S75" s="208">
        <f t="shared" si="11"/>
        <v>0.5</v>
      </c>
      <c r="T75" s="155"/>
      <c r="U75" s="155"/>
    </row>
    <row r="76" spans="2:21" s="177" customFormat="1" ht="25.5">
      <c r="B76" s="179">
        <v>4</v>
      </c>
      <c r="C76" s="179">
        <f t="shared" ref="C76:C106" si="20">VLOOKUP(F76,Entidad_Pago,2,1)</f>
        <v>29</v>
      </c>
      <c r="D76" s="179">
        <f t="shared" ref="D76:D106" si="21">VLOOKUP(I76,Modalidad_Pago,2,1)</f>
        <v>7</v>
      </c>
      <c r="E76" s="179" t="str">
        <f t="shared" si="5"/>
        <v>4297</v>
      </c>
      <c r="F76" s="167" t="s">
        <v>178</v>
      </c>
      <c r="G76" s="167" t="s">
        <v>232</v>
      </c>
      <c r="H76" s="183" t="s">
        <v>228</v>
      </c>
      <c r="I76" s="167" t="s">
        <v>73</v>
      </c>
      <c r="J76" s="182">
        <v>0.5</v>
      </c>
      <c r="K76" s="167"/>
      <c r="M76" s="208">
        <f t="shared" si="6"/>
        <v>0.5</v>
      </c>
      <c r="N76" s="156" t="str">
        <f t="shared" si="7"/>
        <v/>
      </c>
      <c r="O76" s="156" t="str">
        <f t="shared" si="12"/>
        <v/>
      </c>
      <c r="P76" s="155" t="str">
        <f t="shared" si="8"/>
        <v/>
      </c>
      <c r="Q76" s="208" t="str">
        <f t="shared" si="9"/>
        <v/>
      </c>
      <c r="R76" s="208" t="str">
        <f t="shared" si="10"/>
        <v/>
      </c>
      <c r="S76" s="208" t="str">
        <f t="shared" si="11"/>
        <v/>
      </c>
      <c r="T76" s="155"/>
      <c r="U76" s="155"/>
    </row>
    <row r="77" spans="2:21" s="177" customFormat="1" ht="25.5">
      <c r="B77" s="174">
        <v>4</v>
      </c>
      <c r="C77" s="174">
        <f t="shared" si="20"/>
        <v>30</v>
      </c>
      <c r="D77" s="174">
        <f t="shared" si="21"/>
        <v>3</v>
      </c>
      <c r="E77" s="174" t="str">
        <f t="shared" ref="E77:E106" si="22">CONCATENATE(B77,C77,D77)</f>
        <v>4303</v>
      </c>
      <c r="F77" s="183" t="s">
        <v>234</v>
      </c>
      <c r="G77" s="167" t="s">
        <v>213</v>
      </c>
      <c r="H77" s="183" t="s">
        <v>228</v>
      </c>
      <c r="I77" s="167" t="s">
        <v>86</v>
      </c>
      <c r="J77" s="182">
        <v>0.7</v>
      </c>
      <c r="K77" s="167"/>
      <c r="M77" s="208" t="str">
        <f t="shared" ref="M77:M106" si="23">IF(I77="Ventanilla",J77,"")</f>
        <v/>
      </c>
      <c r="N77" s="156" t="str">
        <f t="shared" ref="N77:N106" si="24">IF(I77="Agente",J77,"")</f>
        <v/>
      </c>
      <c r="O77" s="156" t="str">
        <f t="shared" ref="O77:O106" si="25">IF(I77="Débito",J77,"")</f>
        <v/>
      </c>
      <c r="P77" s="155" t="str">
        <f t="shared" ref="P77:P106" si="26">IF(I77="Crédito",J77,"")</f>
        <v/>
      </c>
      <c r="Q77" s="208" t="str">
        <f t="shared" ref="Q77:Q106" si="27">IF(I77="Internet",J77,"")</f>
        <v/>
      </c>
      <c r="R77" s="208" t="str">
        <f t="shared" ref="R77:R106" si="28">IF(I77="Todos los Canales",J77,"")</f>
        <v/>
      </c>
      <c r="S77" s="208" t="str">
        <f t="shared" ref="S77:S106" si="29">IF(I77="POS",J77,"")</f>
        <v/>
      </c>
      <c r="T77" s="155"/>
      <c r="U77" s="155"/>
    </row>
    <row r="78" spans="2:21" s="177" customFormat="1" ht="25.5">
      <c r="B78" s="179">
        <v>4</v>
      </c>
      <c r="C78" s="179">
        <f t="shared" si="20"/>
        <v>31</v>
      </c>
      <c r="D78" s="179">
        <f t="shared" si="21"/>
        <v>7</v>
      </c>
      <c r="E78" s="179" t="str">
        <f t="shared" si="22"/>
        <v>4317</v>
      </c>
      <c r="F78" s="167" t="s">
        <v>74</v>
      </c>
      <c r="G78" s="167" t="s">
        <v>233</v>
      </c>
      <c r="H78" s="183" t="s">
        <v>228</v>
      </c>
      <c r="I78" s="167" t="s">
        <v>73</v>
      </c>
      <c r="J78" s="182">
        <v>0.8</v>
      </c>
      <c r="K78" s="167"/>
      <c r="M78" s="208">
        <f t="shared" si="23"/>
        <v>0.8</v>
      </c>
      <c r="N78" s="156" t="str">
        <f t="shared" si="24"/>
        <v/>
      </c>
      <c r="O78" s="156" t="str">
        <f t="shared" si="25"/>
        <v/>
      </c>
      <c r="P78" s="155" t="str">
        <f t="shared" si="26"/>
        <v/>
      </c>
      <c r="Q78" s="208" t="str">
        <f t="shared" si="27"/>
        <v/>
      </c>
      <c r="R78" s="208" t="str">
        <f t="shared" si="28"/>
        <v/>
      </c>
      <c r="S78" s="208" t="str">
        <f t="shared" si="29"/>
        <v/>
      </c>
      <c r="T78" s="155"/>
      <c r="U78" s="155"/>
    </row>
    <row r="79" spans="2:21" s="177" customFormat="1" ht="15">
      <c r="B79" s="179">
        <v>4</v>
      </c>
      <c r="C79" s="179">
        <f t="shared" si="20"/>
        <v>32</v>
      </c>
      <c r="D79" s="179">
        <f t="shared" si="21"/>
        <v>7</v>
      </c>
      <c r="E79" s="179" t="str">
        <f t="shared" si="22"/>
        <v>4327</v>
      </c>
      <c r="F79" s="167" t="s">
        <v>172</v>
      </c>
      <c r="G79" s="167" t="s">
        <v>235</v>
      </c>
      <c r="H79" s="167" t="s">
        <v>228</v>
      </c>
      <c r="I79" s="167" t="s">
        <v>73</v>
      </c>
      <c r="J79" s="182">
        <v>1.63</v>
      </c>
      <c r="K79" s="167"/>
      <c r="M79" s="208">
        <f t="shared" si="23"/>
        <v>1.63</v>
      </c>
      <c r="N79" s="156" t="str">
        <f t="shared" si="24"/>
        <v/>
      </c>
      <c r="O79" s="156" t="str">
        <f t="shared" si="25"/>
        <v/>
      </c>
      <c r="P79" s="155" t="str">
        <f t="shared" si="26"/>
        <v/>
      </c>
      <c r="Q79" s="208" t="str">
        <f t="shared" si="27"/>
        <v/>
      </c>
      <c r="R79" s="208" t="str">
        <f t="shared" si="28"/>
        <v/>
      </c>
      <c r="S79" s="208" t="str">
        <f t="shared" si="29"/>
        <v/>
      </c>
      <c r="T79" s="155"/>
      <c r="U79" s="155"/>
    </row>
    <row r="80" spans="2:21" s="177" customFormat="1" ht="25.5">
      <c r="B80" s="179">
        <v>4</v>
      </c>
      <c r="C80" s="179">
        <f t="shared" si="20"/>
        <v>34</v>
      </c>
      <c r="D80" s="179">
        <f t="shared" si="21"/>
        <v>5</v>
      </c>
      <c r="E80" s="179" t="str">
        <f t="shared" si="22"/>
        <v>4345</v>
      </c>
      <c r="F80" s="159" t="s">
        <v>185</v>
      </c>
      <c r="G80" s="185" t="s">
        <v>231</v>
      </c>
      <c r="H80" s="183" t="s">
        <v>228</v>
      </c>
      <c r="I80" s="185" t="s">
        <v>89</v>
      </c>
      <c r="J80" s="182">
        <v>0.5</v>
      </c>
      <c r="K80" s="167"/>
      <c r="M80" s="208" t="str">
        <f t="shared" si="23"/>
        <v/>
      </c>
      <c r="N80" s="156" t="str">
        <f t="shared" si="24"/>
        <v/>
      </c>
      <c r="O80" s="156" t="str">
        <f t="shared" si="25"/>
        <v/>
      </c>
      <c r="P80" s="155" t="str">
        <f t="shared" si="26"/>
        <v/>
      </c>
      <c r="Q80" s="208" t="str">
        <f t="shared" si="27"/>
        <v/>
      </c>
      <c r="R80" s="208" t="str">
        <f t="shared" si="28"/>
        <v/>
      </c>
      <c r="S80" s="208">
        <f t="shared" si="29"/>
        <v>0.5</v>
      </c>
      <c r="T80" s="155"/>
      <c r="U80" s="155"/>
    </row>
    <row r="81" spans="2:21" s="177" customFormat="1" ht="25.5">
      <c r="B81" s="179">
        <v>4</v>
      </c>
      <c r="C81" s="179">
        <f t="shared" si="20"/>
        <v>34</v>
      </c>
      <c r="D81" s="179">
        <f t="shared" si="21"/>
        <v>7</v>
      </c>
      <c r="E81" s="179" t="str">
        <f t="shared" si="22"/>
        <v>4347</v>
      </c>
      <c r="F81" s="167" t="s">
        <v>185</v>
      </c>
      <c r="G81" s="167" t="s">
        <v>233</v>
      </c>
      <c r="H81" s="183" t="s">
        <v>228</v>
      </c>
      <c r="I81" s="167" t="s">
        <v>73</v>
      </c>
      <c r="J81" s="182">
        <v>0.5</v>
      </c>
      <c r="K81" s="167"/>
      <c r="M81" s="208">
        <f t="shared" si="23"/>
        <v>0.5</v>
      </c>
      <c r="N81" s="156" t="str">
        <f t="shared" si="24"/>
        <v/>
      </c>
      <c r="O81" s="156" t="str">
        <f t="shared" si="25"/>
        <v/>
      </c>
      <c r="P81" s="155" t="str">
        <f t="shared" si="26"/>
        <v/>
      </c>
      <c r="Q81" s="208" t="str">
        <f t="shared" si="27"/>
        <v/>
      </c>
      <c r="R81" s="208" t="str">
        <f t="shared" si="28"/>
        <v/>
      </c>
      <c r="S81" s="208" t="str">
        <f t="shared" si="29"/>
        <v/>
      </c>
      <c r="T81" s="155"/>
      <c r="U81" s="155"/>
    </row>
    <row r="82" spans="2:21" s="177" customFormat="1" ht="25.5">
      <c r="B82" s="174">
        <v>4</v>
      </c>
      <c r="C82" s="174">
        <f t="shared" si="20"/>
        <v>37</v>
      </c>
      <c r="D82" s="174">
        <f t="shared" si="21"/>
        <v>3</v>
      </c>
      <c r="E82" s="174" t="str">
        <f t="shared" si="22"/>
        <v>4373</v>
      </c>
      <c r="F82" s="183" t="s">
        <v>83</v>
      </c>
      <c r="G82" s="167" t="s">
        <v>213</v>
      </c>
      <c r="H82" s="183" t="s">
        <v>228</v>
      </c>
      <c r="I82" s="167" t="s">
        <v>86</v>
      </c>
      <c r="J82" s="184">
        <v>2.5000000000000001E-2</v>
      </c>
      <c r="K82" s="167"/>
      <c r="M82" s="208" t="str">
        <f t="shared" si="23"/>
        <v/>
      </c>
      <c r="N82" s="156" t="str">
        <f t="shared" si="24"/>
        <v/>
      </c>
      <c r="O82" s="156" t="str">
        <f t="shared" si="25"/>
        <v/>
      </c>
      <c r="P82" s="155" t="str">
        <f t="shared" si="26"/>
        <v/>
      </c>
      <c r="Q82" s="208" t="str">
        <f t="shared" si="27"/>
        <v/>
      </c>
      <c r="R82" s="208" t="str">
        <f t="shared" si="28"/>
        <v/>
      </c>
      <c r="S82" s="208" t="str">
        <f t="shared" si="29"/>
        <v/>
      </c>
      <c r="T82" s="155"/>
      <c r="U82" s="155"/>
    </row>
    <row r="83" spans="2:21" s="177" customFormat="1" ht="25.5">
      <c r="B83" s="179">
        <v>4</v>
      </c>
      <c r="C83" s="179">
        <f t="shared" si="20"/>
        <v>38</v>
      </c>
      <c r="D83" s="179">
        <f t="shared" si="21"/>
        <v>7</v>
      </c>
      <c r="E83" s="179" t="str">
        <f t="shared" si="22"/>
        <v>4387</v>
      </c>
      <c r="F83" s="167" t="s">
        <v>181</v>
      </c>
      <c r="G83" s="167" t="s">
        <v>233</v>
      </c>
      <c r="H83" s="183" t="s">
        <v>228</v>
      </c>
      <c r="I83" s="167" t="s">
        <v>73</v>
      </c>
      <c r="J83" s="182">
        <v>0.7</v>
      </c>
      <c r="K83" s="167"/>
      <c r="M83" s="208">
        <f t="shared" si="23"/>
        <v>0.7</v>
      </c>
      <c r="N83" s="156" t="str">
        <f t="shared" si="24"/>
        <v/>
      </c>
      <c r="O83" s="156" t="str">
        <f t="shared" si="25"/>
        <v/>
      </c>
      <c r="P83" s="155" t="str">
        <f t="shared" si="26"/>
        <v/>
      </c>
      <c r="Q83" s="208" t="str">
        <f t="shared" si="27"/>
        <v/>
      </c>
      <c r="R83" s="208" t="str">
        <f t="shared" si="28"/>
        <v/>
      </c>
      <c r="S83" s="208" t="str">
        <f t="shared" si="29"/>
        <v/>
      </c>
      <c r="T83" s="155"/>
      <c r="U83" s="155"/>
    </row>
    <row r="84" spans="2:21" s="177" customFormat="1" ht="15">
      <c r="B84" s="187">
        <v>5</v>
      </c>
      <c r="C84" s="187">
        <f t="shared" si="20"/>
        <v>4</v>
      </c>
      <c r="D84" s="187">
        <f t="shared" si="21"/>
        <v>1</v>
      </c>
      <c r="E84" s="187" t="str">
        <f t="shared" si="22"/>
        <v>541</v>
      </c>
      <c r="F84" s="188" t="s">
        <v>188</v>
      </c>
      <c r="G84" s="185" t="s">
        <v>215</v>
      </c>
      <c r="H84" s="185" t="s">
        <v>66</v>
      </c>
      <c r="I84" s="185" t="s">
        <v>85</v>
      </c>
      <c r="J84" s="185">
        <v>1.5</v>
      </c>
      <c r="K84" s="185" t="s">
        <v>84</v>
      </c>
      <c r="M84" s="208" t="str">
        <f t="shared" si="23"/>
        <v/>
      </c>
      <c r="N84" s="156">
        <f t="shared" si="24"/>
        <v>1.5</v>
      </c>
      <c r="O84" s="156" t="str">
        <f t="shared" si="25"/>
        <v/>
      </c>
      <c r="P84" s="155" t="str">
        <f t="shared" si="26"/>
        <v/>
      </c>
      <c r="Q84" s="208" t="str">
        <f t="shared" si="27"/>
        <v/>
      </c>
      <c r="R84" s="208" t="str">
        <f t="shared" si="28"/>
        <v/>
      </c>
      <c r="S84" s="208" t="str">
        <f t="shared" si="29"/>
        <v/>
      </c>
      <c r="T84" s="155"/>
      <c r="U84" s="155"/>
    </row>
    <row r="85" spans="2:21" s="177" customFormat="1" ht="15">
      <c r="B85" s="187">
        <v>5</v>
      </c>
      <c r="C85" s="187">
        <f t="shared" si="20"/>
        <v>4</v>
      </c>
      <c r="D85" s="187">
        <f t="shared" si="21"/>
        <v>4</v>
      </c>
      <c r="E85" s="187" t="str">
        <f t="shared" si="22"/>
        <v>544</v>
      </c>
      <c r="F85" s="188" t="s">
        <v>188</v>
      </c>
      <c r="G85" s="185" t="s">
        <v>215</v>
      </c>
      <c r="H85" s="185" t="s">
        <v>66</v>
      </c>
      <c r="I85" s="185" t="s">
        <v>87</v>
      </c>
      <c r="J85" s="185">
        <v>1</v>
      </c>
      <c r="K85" s="185" t="s">
        <v>84</v>
      </c>
      <c r="M85" s="208" t="str">
        <f t="shared" si="23"/>
        <v/>
      </c>
      <c r="N85" s="156" t="str">
        <f t="shared" si="24"/>
        <v/>
      </c>
      <c r="O85" s="156" t="str">
        <f t="shared" si="25"/>
        <v/>
      </c>
      <c r="P85" s="155" t="str">
        <f t="shared" si="26"/>
        <v/>
      </c>
      <c r="Q85" s="208">
        <f t="shared" si="27"/>
        <v>1</v>
      </c>
      <c r="R85" s="208" t="str">
        <f t="shared" si="28"/>
        <v/>
      </c>
      <c r="S85" s="208" t="str">
        <f t="shared" si="29"/>
        <v/>
      </c>
      <c r="T85" s="155"/>
      <c r="U85" s="155"/>
    </row>
    <row r="86" spans="2:21" s="12" customFormat="1" ht="15">
      <c r="B86" s="187">
        <v>5</v>
      </c>
      <c r="C86" s="187">
        <f t="shared" si="20"/>
        <v>4</v>
      </c>
      <c r="D86" s="187">
        <f t="shared" si="21"/>
        <v>7</v>
      </c>
      <c r="E86" s="187" t="str">
        <f t="shared" si="22"/>
        <v>547</v>
      </c>
      <c r="F86" s="188" t="s">
        <v>188</v>
      </c>
      <c r="G86" s="185" t="s">
        <v>215</v>
      </c>
      <c r="H86" s="185" t="s">
        <v>66</v>
      </c>
      <c r="I86" s="185" t="s">
        <v>73</v>
      </c>
      <c r="J86" s="185">
        <v>2.5</v>
      </c>
      <c r="K86" s="185" t="s">
        <v>84</v>
      </c>
      <c r="M86" s="208">
        <f t="shared" si="23"/>
        <v>2.5</v>
      </c>
      <c r="N86" s="156" t="str">
        <f t="shared" si="24"/>
        <v/>
      </c>
      <c r="O86" s="156" t="str">
        <f t="shared" si="25"/>
        <v/>
      </c>
      <c r="P86" s="155" t="str">
        <f t="shared" si="26"/>
        <v/>
      </c>
      <c r="Q86" s="208" t="str">
        <f t="shared" si="27"/>
        <v/>
      </c>
      <c r="R86" s="208" t="str">
        <f t="shared" si="28"/>
        <v/>
      </c>
      <c r="S86" s="208" t="str">
        <f t="shared" si="29"/>
        <v/>
      </c>
      <c r="T86" s="155"/>
      <c r="U86" s="155"/>
    </row>
    <row r="87" spans="2:21" s="12" customFormat="1" ht="15">
      <c r="B87" s="187">
        <v>5</v>
      </c>
      <c r="C87" s="187">
        <f t="shared" si="20"/>
        <v>5</v>
      </c>
      <c r="D87" s="187">
        <f t="shared" si="21"/>
        <v>1</v>
      </c>
      <c r="E87" s="187" t="str">
        <f t="shared" si="22"/>
        <v>551</v>
      </c>
      <c r="F87" s="188" t="s">
        <v>108</v>
      </c>
      <c r="G87" s="185" t="s">
        <v>215</v>
      </c>
      <c r="H87" s="185" t="s">
        <v>66</v>
      </c>
      <c r="I87" s="185" t="s">
        <v>85</v>
      </c>
      <c r="J87" s="185">
        <v>1.5</v>
      </c>
      <c r="K87" s="185" t="s">
        <v>84</v>
      </c>
      <c r="M87" s="208" t="str">
        <f t="shared" si="23"/>
        <v/>
      </c>
      <c r="N87" s="156">
        <f t="shared" si="24"/>
        <v>1.5</v>
      </c>
      <c r="O87" s="156" t="str">
        <f t="shared" si="25"/>
        <v/>
      </c>
      <c r="P87" s="155" t="str">
        <f t="shared" si="26"/>
        <v/>
      </c>
      <c r="Q87" s="208" t="str">
        <f t="shared" si="27"/>
        <v/>
      </c>
      <c r="R87" s="208" t="str">
        <f t="shared" si="28"/>
        <v/>
      </c>
      <c r="S87" s="208" t="str">
        <f t="shared" si="29"/>
        <v/>
      </c>
      <c r="T87" s="155"/>
      <c r="U87" s="155"/>
    </row>
    <row r="88" spans="2:21" s="12" customFormat="1" ht="15">
      <c r="B88" s="187">
        <v>5</v>
      </c>
      <c r="C88" s="187">
        <f t="shared" si="20"/>
        <v>5</v>
      </c>
      <c r="D88" s="187">
        <f t="shared" si="21"/>
        <v>4</v>
      </c>
      <c r="E88" s="187" t="str">
        <f t="shared" si="22"/>
        <v>554</v>
      </c>
      <c r="F88" s="188" t="s">
        <v>108</v>
      </c>
      <c r="G88" s="185" t="s">
        <v>215</v>
      </c>
      <c r="H88" s="185" t="s">
        <v>66</v>
      </c>
      <c r="I88" s="185" t="s">
        <v>87</v>
      </c>
      <c r="J88" s="185">
        <v>1</v>
      </c>
      <c r="K88" s="185" t="s">
        <v>84</v>
      </c>
      <c r="M88" s="208" t="str">
        <f t="shared" si="23"/>
        <v/>
      </c>
      <c r="N88" s="156" t="str">
        <f t="shared" si="24"/>
        <v/>
      </c>
      <c r="O88" s="156" t="str">
        <f t="shared" si="25"/>
        <v/>
      </c>
      <c r="P88" s="155" t="str">
        <f t="shared" si="26"/>
        <v/>
      </c>
      <c r="Q88" s="208">
        <f t="shared" si="27"/>
        <v>1</v>
      </c>
      <c r="R88" s="208" t="str">
        <f t="shared" si="28"/>
        <v/>
      </c>
      <c r="S88" s="208" t="str">
        <f t="shared" si="29"/>
        <v/>
      </c>
      <c r="T88" s="155"/>
      <c r="U88" s="155"/>
    </row>
    <row r="89" spans="2:21" s="12" customFormat="1" ht="15">
      <c r="B89" s="187">
        <v>5</v>
      </c>
      <c r="C89" s="187">
        <f t="shared" si="20"/>
        <v>5</v>
      </c>
      <c r="D89" s="187">
        <f t="shared" si="21"/>
        <v>7</v>
      </c>
      <c r="E89" s="187" t="str">
        <f t="shared" si="22"/>
        <v>557</v>
      </c>
      <c r="F89" s="188" t="s">
        <v>108</v>
      </c>
      <c r="G89" s="185" t="s">
        <v>215</v>
      </c>
      <c r="H89" s="185" t="s">
        <v>66</v>
      </c>
      <c r="I89" s="185" t="s">
        <v>73</v>
      </c>
      <c r="J89" s="185">
        <v>3</v>
      </c>
      <c r="K89" s="185" t="s">
        <v>84</v>
      </c>
      <c r="M89" s="208">
        <f t="shared" si="23"/>
        <v>3</v>
      </c>
      <c r="N89" s="156" t="str">
        <f t="shared" si="24"/>
        <v/>
      </c>
      <c r="O89" s="156" t="str">
        <f t="shared" si="25"/>
        <v/>
      </c>
      <c r="P89" s="155" t="str">
        <f t="shared" si="26"/>
        <v/>
      </c>
      <c r="Q89" s="208" t="str">
        <f t="shared" si="27"/>
        <v/>
      </c>
      <c r="R89" s="208" t="str">
        <f t="shared" si="28"/>
        <v/>
      </c>
      <c r="S89" s="208" t="str">
        <f t="shared" si="29"/>
        <v/>
      </c>
      <c r="T89" s="155"/>
      <c r="U89" s="155"/>
    </row>
    <row r="90" spans="2:21" s="12" customFormat="1" ht="15">
      <c r="B90" s="187">
        <v>5</v>
      </c>
      <c r="C90" s="187">
        <f t="shared" si="20"/>
        <v>7</v>
      </c>
      <c r="D90" s="187">
        <f t="shared" si="21"/>
        <v>7</v>
      </c>
      <c r="E90" s="187" t="str">
        <f t="shared" si="22"/>
        <v>577</v>
      </c>
      <c r="F90" s="188" t="s">
        <v>189</v>
      </c>
      <c r="G90" s="185" t="s">
        <v>215</v>
      </c>
      <c r="H90" s="185" t="s">
        <v>236</v>
      </c>
      <c r="I90" s="185" t="s">
        <v>73</v>
      </c>
      <c r="J90" s="185">
        <v>1.5</v>
      </c>
      <c r="K90" s="185" t="s">
        <v>84</v>
      </c>
      <c r="M90" s="208">
        <f t="shared" si="23"/>
        <v>1.5</v>
      </c>
      <c r="N90" s="156" t="str">
        <f t="shared" si="24"/>
        <v/>
      </c>
      <c r="O90" s="156" t="str">
        <f t="shared" si="25"/>
        <v/>
      </c>
      <c r="P90" s="155" t="str">
        <f t="shared" si="26"/>
        <v/>
      </c>
      <c r="Q90" s="208" t="str">
        <f t="shared" si="27"/>
        <v/>
      </c>
      <c r="R90" s="208" t="str">
        <f t="shared" si="28"/>
        <v/>
      </c>
      <c r="S90" s="208" t="str">
        <f t="shared" si="29"/>
        <v/>
      </c>
      <c r="T90" s="155"/>
      <c r="U90" s="155"/>
    </row>
    <row r="91" spans="2:21" s="177" customFormat="1" ht="15">
      <c r="B91" s="187">
        <v>5</v>
      </c>
      <c r="C91" s="187">
        <f t="shared" si="20"/>
        <v>11</v>
      </c>
      <c r="D91" s="187">
        <f t="shared" si="21"/>
        <v>6</v>
      </c>
      <c r="E91" s="187" t="str">
        <f t="shared" si="22"/>
        <v>5116</v>
      </c>
      <c r="F91" s="183" t="s">
        <v>78</v>
      </c>
      <c r="G91" s="167" t="s">
        <v>237</v>
      </c>
      <c r="H91" s="185" t="s">
        <v>66</v>
      </c>
      <c r="I91" s="185" t="s">
        <v>195</v>
      </c>
      <c r="J91" s="183">
        <v>1.8</v>
      </c>
      <c r="K91" s="185"/>
      <c r="M91" s="208" t="str">
        <f t="shared" si="23"/>
        <v/>
      </c>
      <c r="N91" s="156" t="str">
        <f t="shared" si="24"/>
        <v/>
      </c>
      <c r="O91" s="156" t="str">
        <f t="shared" si="25"/>
        <v/>
      </c>
      <c r="P91" s="155" t="str">
        <f t="shared" si="26"/>
        <v/>
      </c>
      <c r="Q91" s="208" t="str">
        <f t="shared" si="27"/>
        <v/>
      </c>
      <c r="R91" s="208">
        <f t="shared" si="28"/>
        <v>1.8</v>
      </c>
      <c r="S91" s="208" t="str">
        <f t="shared" si="29"/>
        <v/>
      </c>
      <c r="T91" s="155"/>
      <c r="U91" s="155"/>
    </row>
    <row r="92" spans="2:21" s="177" customFormat="1" ht="15">
      <c r="B92" s="187">
        <v>5</v>
      </c>
      <c r="C92" s="187">
        <f t="shared" si="20"/>
        <v>37</v>
      </c>
      <c r="D92" s="187">
        <f t="shared" si="21"/>
        <v>2</v>
      </c>
      <c r="E92" s="187" t="str">
        <f t="shared" si="22"/>
        <v>5372</v>
      </c>
      <c r="F92" s="168" t="s">
        <v>83</v>
      </c>
      <c r="G92" s="162" t="s">
        <v>213</v>
      </c>
      <c r="H92" s="185" t="s">
        <v>66</v>
      </c>
      <c r="I92" s="185" t="s">
        <v>168</v>
      </c>
      <c r="J92" s="189">
        <v>3.2500000000000001E-2</v>
      </c>
      <c r="K92" s="185"/>
      <c r="M92" s="208" t="str">
        <f t="shared" si="23"/>
        <v/>
      </c>
      <c r="N92" s="156" t="str">
        <f t="shared" si="24"/>
        <v/>
      </c>
      <c r="O92" s="156" t="str">
        <f t="shared" si="25"/>
        <v/>
      </c>
      <c r="P92" s="155">
        <f t="shared" si="26"/>
        <v>3.2500000000000001E-2</v>
      </c>
      <c r="Q92" s="208" t="str">
        <f t="shared" si="27"/>
        <v/>
      </c>
      <c r="R92" s="208" t="str">
        <f t="shared" si="28"/>
        <v/>
      </c>
      <c r="S92" s="208" t="str">
        <f t="shared" si="29"/>
        <v/>
      </c>
      <c r="T92" s="155"/>
      <c r="U92" s="155"/>
    </row>
    <row r="93" spans="2:21" s="177" customFormat="1" ht="15">
      <c r="B93" s="187">
        <v>5</v>
      </c>
      <c r="C93" s="187">
        <f t="shared" si="20"/>
        <v>37</v>
      </c>
      <c r="D93" s="187">
        <f t="shared" si="21"/>
        <v>3</v>
      </c>
      <c r="E93" s="187" t="str">
        <f t="shared" si="22"/>
        <v>5373</v>
      </c>
      <c r="F93" s="168" t="s">
        <v>83</v>
      </c>
      <c r="G93" s="162" t="s">
        <v>213</v>
      </c>
      <c r="H93" s="185" t="s">
        <v>66</v>
      </c>
      <c r="I93" s="185" t="s">
        <v>167</v>
      </c>
      <c r="J93" s="189">
        <v>4.1500000000000002E-2</v>
      </c>
      <c r="K93" s="185" t="s">
        <v>84</v>
      </c>
      <c r="M93" s="208" t="str">
        <f t="shared" si="23"/>
        <v/>
      </c>
      <c r="N93" s="156" t="str">
        <f t="shared" si="24"/>
        <v/>
      </c>
      <c r="O93" s="156">
        <f t="shared" si="25"/>
        <v>4.1500000000000002E-2</v>
      </c>
      <c r="P93" s="155" t="str">
        <f t="shared" si="26"/>
        <v/>
      </c>
      <c r="Q93" s="208" t="str">
        <f t="shared" si="27"/>
        <v/>
      </c>
      <c r="R93" s="208" t="str">
        <f t="shared" si="28"/>
        <v/>
      </c>
      <c r="S93" s="208" t="str">
        <f t="shared" si="29"/>
        <v/>
      </c>
      <c r="T93" s="155"/>
      <c r="U93" s="155"/>
    </row>
    <row r="94" spans="2:21" s="177" customFormat="1" ht="15">
      <c r="B94" s="152">
        <v>5</v>
      </c>
      <c r="C94" s="152">
        <f t="shared" si="20"/>
        <v>22</v>
      </c>
      <c r="D94" s="152">
        <f t="shared" si="21"/>
        <v>6</v>
      </c>
      <c r="E94" s="152" t="str">
        <f t="shared" si="22"/>
        <v>5226</v>
      </c>
      <c r="F94" s="168" t="s">
        <v>79</v>
      </c>
      <c r="G94" s="162" t="s">
        <v>237</v>
      </c>
      <c r="H94" s="185" t="s">
        <v>66</v>
      </c>
      <c r="I94" s="185" t="s">
        <v>195</v>
      </c>
      <c r="J94" s="183">
        <v>1.8</v>
      </c>
      <c r="K94" s="185"/>
      <c r="M94" s="208" t="str">
        <f t="shared" si="23"/>
        <v/>
      </c>
      <c r="N94" s="156" t="str">
        <f t="shared" si="24"/>
        <v/>
      </c>
      <c r="O94" s="156" t="str">
        <f t="shared" si="25"/>
        <v/>
      </c>
      <c r="P94" s="155" t="str">
        <f t="shared" si="26"/>
        <v/>
      </c>
      <c r="Q94" s="208" t="str">
        <f t="shared" si="27"/>
        <v/>
      </c>
      <c r="R94" s="208">
        <f t="shared" si="28"/>
        <v>1.8</v>
      </c>
      <c r="S94" s="208" t="str">
        <f t="shared" si="29"/>
        <v/>
      </c>
      <c r="T94" s="155"/>
      <c r="U94" s="155"/>
    </row>
    <row r="95" spans="2:21" s="177" customFormat="1" ht="15">
      <c r="B95" s="152">
        <v>5</v>
      </c>
      <c r="C95" s="152">
        <f t="shared" si="20"/>
        <v>26</v>
      </c>
      <c r="D95" s="152">
        <f t="shared" si="21"/>
        <v>6</v>
      </c>
      <c r="E95" s="152" t="str">
        <f t="shared" si="22"/>
        <v>5266</v>
      </c>
      <c r="F95" s="168" t="s">
        <v>200</v>
      </c>
      <c r="G95" s="162" t="s">
        <v>237</v>
      </c>
      <c r="H95" s="185" t="s">
        <v>66</v>
      </c>
      <c r="I95" s="185" t="s">
        <v>195</v>
      </c>
      <c r="J95" s="183">
        <v>1.8</v>
      </c>
      <c r="K95" s="185"/>
      <c r="M95" s="208" t="str">
        <f t="shared" si="23"/>
        <v/>
      </c>
      <c r="N95" s="156" t="str">
        <f t="shared" si="24"/>
        <v/>
      </c>
      <c r="O95" s="156" t="str">
        <f t="shared" si="25"/>
        <v/>
      </c>
      <c r="P95" s="155" t="str">
        <f t="shared" si="26"/>
        <v/>
      </c>
      <c r="Q95" s="208" t="str">
        <f t="shared" si="27"/>
        <v/>
      </c>
      <c r="R95" s="208">
        <f t="shared" si="28"/>
        <v>1.8</v>
      </c>
      <c r="S95" s="208" t="str">
        <f t="shared" si="29"/>
        <v/>
      </c>
      <c r="T95" s="155"/>
      <c r="U95" s="155"/>
    </row>
    <row r="96" spans="2:21" s="177" customFormat="1" ht="15">
      <c r="B96" s="152">
        <v>5</v>
      </c>
      <c r="C96" s="152">
        <f t="shared" ref="C96" si="30">VLOOKUP(F96,Entidad_Pago,2,1)</f>
        <v>16</v>
      </c>
      <c r="D96" s="152">
        <f t="shared" ref="D96" si="31">VLOOKUP(I96,Modalidad_Pago,2,1)</f>
        <v>6</v>
      </c>
      <c r="E96" s="152" t="str">
        <f t="shared" si="22"/>
        <v>5166</v>
      </c>
      <c r="F96" s="168" t="s">
        <v>238</v>
      </c>
      <c r="G96" s="162" t="s">
        <v>237</v>
      </c>
      <c r="H96" s="185" t="s">
        <v>66</v>
      </c>
      <c r="I96" s="185" t="s">
        <v>195</v>
      </c>
      <c r="J96" s="175">
        <f t="shared" ref="J96:J99" si="32">IF(I96="Ventanilla",$M$5,IF(I96="Agente",$N$5,IF(I96="Crédito",$P$5,IF(I96="Débito",$O$5,IF(I96="Internet",$Q$5,IF(I96="Todos los Canales",$R$5,$S$5))))))</f>
        <v>1.8</v>
      </c>
      <c r="K96" s="185"/>
      <c r="L96" s="172" t="s">
        <v>225</v>
      </c>
      <c r="M96" s="208"/>
      <c r="N96" s="156"/>
      <c r="O96" s="156"/>
      <c r="P96" s="155"/>
      <c r="Q96" s="208"/>
      <c r="R96" s="208"/>
      <c r="S96" s="208"/>
      <c r="T96" s="155"/>
      <c r="U96" s="155"/>
    </row>
    <row r="97" spans="2:33" s="177" customFormat="1" ht="15">
      <c r="B97" s="152">
        <v>5</v>
      </c>
      <c r="C97" s="152">
        <f t="shared" si="20"/>
        <v>33</v>
      </c>
      <c r="D97" s="152">
        <f t="shared" si="21"/>
        <v>7</v>
      </c>
      <c r="E97" s="152" t="str">
        <f t="shared" si="22"/>
        <v>5337</v>
      </c>
      <c r="F97" s="186" t="s">
        <v>16</v>
      </c>
      <c r="G97" s="186" t="s">
        <v>212</v>
      </c>
      <c r="H97" s="185" t="s">
        <v>66</v>
      </c>
      <c r="I97" s="185" t="s">
        <v>73</v>
      </c>
      <c r="J97" s="180">
        <f t="shared" si="32"/>
        <v>1.1967840069534985</v>
      </c>
      <c r="K97" s="185" t="s">
        <v>84</v>
      </c>
      <c r="L97" s="172" t="s">
        <v>226</v>
      </c>
      <c r="M97" s="208"/>
      <c r="N97" s="156" t="str">
        <f t="shared" si="24"/>
        <v/>
      </c>
      <c r="O97" s="156" t="str">
        <f t="shared" si="25"/>
        <v/>
      </c>
      <c r="P97" s="155" t="str">
        <f t="shared" si="26"/>
        <v/>
      </c>
      <c r="Q97" s="208" t="str">
        <f t="shared" si="27"/>
        <v/>
      </c>
      <c r="R97" s="208" t="str">
        <f t="shared" si="28"/>
        <v/>
      </c>
      <c r="S97" s="208" t="str">
        <f t="shared" si="29"/>
        <v/>
      </c>
      <c r="T97" s="155"/>
      <c r="U97" s="155"/>
    </row>
    <row r="98" spans="2:33" s="177" customFormat="1" ht="15">
      <c r="B98" s="152">
        <v>5</v>
      </c>
      <c r="C98" s="152">
        <f t="shared" ref="C98" si="33">VLOOKUP(F98,Entidad_Pago,2,1)</f>
        <v>33</v>
      </c>
      <c r="D98" s="152">
        <f t="shared" ref="D98" si="34">VLOOKUP(I98,Modalidad_Pago,2,1)</f>
        <v>4</v>
      </c>
      <c r="E98" s="152" t="str">
        <f t="shared" si="22"/>
        <v>5334</v>
      </c>
      <c r="F98" s="186" t="s">
        <v>16</v>
      </c>
      <c r="G98" s="186" t="s">
        <v>212</v>
      </c>
      <c r="H98" s="185" t="s">
        <v>66</v>
      </c>
      <c r="I98" s="185" t="s">
        <v>87</v>
      </c>
      <c r="J98" s="180">
        <f t="shared" si="32"/>
        <v>0.8917675544794188</v>
      </c>
      <c r="K98" s="185"/>
      <c r="M98" s="208"/>
      <c r="N98" s="156"/>
      <c r="O98" s="156"/>
      <c r="P98" s="155"/>
      <c r="Q98" s="208"/>
      <c r="R98" s="208"/>
      <c r="S98" s="208"/>
      <c r="T98" s="155"/>
      <c r="U98" s="155"/>
    </row>
    <row r="99" spans="2:33" s="177" customFormat="1" ht="15">
      <c r="B99" s="152">
        <v>5</v>
      </c>
      <c r="C99" s="152">
        <f t="shared" ref="C99" si="35">VLOOKUP(F99,Entidad_Pago,2,1)</f>
        <v>33</v>
      </c>
      <c r="D99" s="152">
        <f t="shared" ref="D99" si="36">VLOOKUP(I99,Modalidad_Pago,2,1)</f>
        <v>1</v>
      </c>
      <c r="E99" s="152" t="str">
        <f t="shared" si="22"/>
        <v>5331</v>
      </c>
      <c r="F99" s="186" t="s">
        <v>16</v>
      </c>
      <c r="G99" s="186" t="s">
        <v>212</v>
      </c>
      <c r="H99" s="185" t="s">
        <v>66</v>
      </c>
      <c r="I99" s="185" t="s">
        <v>85</v>
      </c>
      <c r="J99" s="180">
        <f t="shared" si="32"/>
        <v>1.3403954802259888</v>
      </c>
      <c r="K99" s="185"/>
      <c r="M99" s="208"/>
      <c r="N99" s="156"/>
      <c r="O99" s="156"/>
      <c r="P99" s="155"/>
      <c r="Q99" s="208"/>
      <c r="R99" s="208"/>
      <c r="S99" s="208"/>
      <c r="T99" s="155"/>
      <c r="U99" s="155"/>
    </row>
    <row r="100" spans="2:33" s="177" customFormat="1" ht="15">
      <c r="B100" s="187">
        <v>5</v>
      </c>
      <c r="C100" s="187">
        <f t="shared" si="20"/>
        <v>30</v>
      </c>
      <c r="D100" s="187">
        <f t="shared" si="21"/>
        <v>2</v>
      </c>
      <c r="E100" s="187" t="str">
        <f t="shared" si="22"/>
        <v>5302</v>
      </c>
      <c r="F100" s="168" t="s">
        <v>81</v>
      </c>
      <c r="G100" s="162" t="s">
        <v>213</v>
      </c>
      <c r="H100" s="185" t="s">
        <v>66</v>
      </c>
      <c r="I100" s="185" t="s">
        <v>168</v>
      </c>
      <c r="J100" s="189">
        <v>3.2500000000000001E-2</v>
      </c>
      <c r="K100" s="185"/>
      <c r="M100" s="208" t="str">
        <f t="shared" si="23"/>
        <v/>
      </c>
      <c r="N100" s="156" t="str">
        <f t="shared" si="24"/>
        <v/>
      </c>
      <c r="O100" s="156" t="str">
        <f t="shared" si="25"/>
        <v/>
      </c>
      <c r="P100" s="155">
        <f t="shared" si="26"/>
        <v>3.2500000000000001E-2</v>
      </c>
      <c r="Q100" s="208" t="str">
        <f t="shared" si="27"/>
        <v/>
      </c>
      <c r="R100" s="208" t="str">
        <f t="shared" si="28"/>
        <v/>
      </c>
      <c r="S100" s="208" t="str">
        <f t="shared" si="29"/>
        <v/>
      </c>
      <c r="T100" s="155"/>
      <c r="U100" s="155"/>
    </row>
    <row r="101" spans="2:33" s="177" customFormat="1" ht="15">
      <c r="B101" s="187">
        <v>5</v>
      </c>
      <c r="C101" s="187">
        <f t="shared" si="20"/>
        <v>30</v>
      </c>
      <c r="D101" s="187">
        <f t="shared" si="21"/>
        <v>3</v>
      </c>
      <c r="E101" s="187" t="str">
        <f t="shared" si="22"/>
        <v>5303</v>
      </c>
      <c r="F101" s="168" t="s">
        <v>81</v>
      </c>
      <c r="G101" s="162" t="s">
        <v>213</v>
      </c>
      <c r="H101" s="185" t="s">
        <v>66</v>
      </c>
      <c r="I101" s="185" t="s">
        <v>167</v>
      </c>
      <c r="J101" s="189">
        <v>4.1500000000000002E-2</v>
      </c>
      <c r="K101" s="185" t="s">
        <v>84</v>
      </c>
      <c r="M101" s="208" t="str">
        <f t="shared" si="23"/>
        <v/>
      </c>
      <c r="N101" s="156" t="str">
        <f t="shared" si="24"/>
        <v/>
      </c>
      <c r="O101" s="156">
        <f t="shared" si="25"/>
        <v>4.1500000000000002E-2</v>
      </c>
      <c r="P101" s="155" t="str">
        <f t="shared" si="26"/>
        <v/>
      </c>
      <c r="Q101" s="208" t="str">
        <f t="shared" si="27"/>
        <v/>
      </c>
      <c r="R101" s="208" t="str">
        <f t="shared" si="28"/>
        <v/>
      </c>
      <c r="S101" s="208" t="str">
        <f t="shared" si="29"/>
        <v/>
      </c>
      <c r="T101" s="155"/>
      <c r="U101" s="155"/>
    </row>
    <row r="102" spans="2:33" s="177" customFormat="1" ht="15">
      <c r="B102" s="152">
        <v>5</v>
      </c>
      <c r="C102" s="152">
        <f t="shared" si="20"/>
        <v>35</v>
      </c>
      <c r="D102" s="152">
        <f t="shared" si="21"/>
        <v>6</v>
      </c>
      <c r="E102" s="152" t="str">
        <f t="shared" si="22"/>
        <v>5356</v>
      </c>
      <c r="F102" s="168" t="s">
        <v>76</v>
      </c>
      <c r="G102" s="162" t="s">
        <v>237</v>
      </c>
      <c r="H102" s="185" t="s">
        <v>66</v>
      </c>
      <c r="I102" s="185" t="s">
        <v>195</v>
      </c>
      <c r="J102" s="183">
        <v>1.8</v>
      </c>
      <c r="K102" s="185"/>
      <c r="M102" s="208" t="str">
        <f t="shared" si="23"/>
        <v/>
      </c>
      <c r="N102" s="156" t="str">
        <f t="shared" si="24"/>
        <v/>
      </c>
      <c r="O102" s="156" t="str">
        <f t="shared" si="25"/>
        <v/>
      </c>
      <c r="P102" s="155" t="str">
        <f t="shared" si="26"/>
        <v/>
      </c>
      <c r="Q102" s="208" t="str">
        <f t="shared" si="27"/>
        <v/>
      </c>
      <c r="R102" s="208">
        <f t="shared" si="28"/>
        <v>1.8</v>
      </c>
      <c r="S102" s="208" t="str">
        <f t="shared" si="29"/>
        <v/>
      </c>
      <c r="T102" s="155"/>
      <c r="U102" s="155"/>
    </row>
    <row r="103" spans="2:33" s="177" customFormat="1" ht="15">
      <c r="B103" s="187">
        <v>5</v>
      </c>
      <c r="C103" s="187">
        <f t="shared" si="20"/>
        <v>36</v>
      </c>
      <c r="D103" s="187">
        <f t="shared" si="21"/>
        <v>1</v>
      </c>
      <c r="E103" s="187" t="str">
        <f t="shared" si="22"/>
        <v>5361</v>
      </c>
      <c r="F103" s="190" t="s">
        <v>187</v>
      </c>
      <c r="G103" s="186" t="s">
        <v>215</v>
      </c>
      <c r="H103" s="185" t="s">
        <v>66</v>
      </c>
      <c r="I103" s="185" t="s">
        <v>85</v>
      </c>
      <c r="J103" s="185">
        <v>1.5</v>
      </c>
      <c r="K103" s="185" t="s">
        <v>84</v>
      </c>
      <c r="M103" s="208" t="str">
        <f t="shared" si="23"/>
        <v/>
      </c>
      <c r="N103" s="156">
        <f t="shared" si="24"/>
        <v>1.5</v>
      </c>
      <c r="O103" s="156" t="str">
        <f t="shared" si="25"/>
        <v/>
      </c>
      <c r="P103" s="155" t="str">
        <f t="shared" si="26"/>
        <v/>
      </c>
      <c r="Q103" s="208" t="str">
        <f t="shared" si="27"/>
        <v/>
      </c>
      <c r="R103" s="208" t="str">
        <f t="shared" si="28"/>
        <v/>
      </c>
      <c r="S103" s="208" t="str">
        <f t="shared" si="29"/>
        <v/>
      </c>
      <c r="T103" s="155"/>
      <c r="U103" s="155"/>
    </row>
    <row r="104" spans="2:33" s="177" customFormat="1" ht="15">
      <c r="B104" s="187">
        <v>5</v>
      </c>
      <c r="C104" s="187">
        <f t="shared" si="20"/>
        <v>36</v>
      </c>
      <c r="D104" s="187">
        <f t="shared" si="21"/>
        <v>4</v>
      </c>
      <c r="E104" s="187" t="str">
        <f t="shared" si="22"/>
        <v>5364</v>
      </c>
      <c r="F104" s="190" t="s">
        <v>187</v>
      </c>
      <c r="G104" s="186" t="s">
        <v>215</v>
      </c>
      <c r="H104" s="185" t="s">
        <v>66</v>
      </c>
      <c r="I104" s="185" t="s">
        <v>87</v>
      </c>
      <c r="J104" s="185">
        <v>1</v>
      </c>
      <c r="K104" s="185" t="s">
        <v>84</v>
      </c>
      <c r="M104" s="208" t="str">
        <f t="shared" si="23"/>
        <v/>
      </c>
      <c r="N104" s="156" t="str">
        <f t="shared" si="24"/>
        <v/>
      </c>
      <c r="O104" s="156" t="str">
        <f t="shared" si="25"/>
        <v/>
      </c>
      <c r="P104" s="155" t="str">
        <f t="shared" si="26"/>
        <v/>
      </c>
      <c r="Q104" s="208">
        <f t="shared" si="27"/>
        <v>1</v>
      </c>
      <c r="R104" s="208" t="str">
        <f t="shared" si="28"/>
        <v/>
      </c>
      <c r="S104" s="208" t="str">
        <f t="shared" si="29"/>
        <v/>
      </c>
      <c r="T104" s="155"/>
      <c r="U104" s="155"/>
    </row>
    <row r="105" spans="2:33" s="177" customFormat="1" ht="15">
      <c r="B105" s="152">
        <v>5</v>
      </c>
      <c r="C105" s="152">
        <f t="shared" si="20"/>
        <v>36</v>
      </c>
      <c r="D105" s="152">
        <f t="shared" si="21"/>
        <v>7</v>
      </c>
      <c r="E105" s="152" t="str">
        <f t="shared" si="22"/>
        <v>5367</v>
      </c>
      <c r="F105" s="190" t="s">
        <v>187</v>
      </c>
      <c r="G105" s="186" t="s">
        <v>215</v>
      </c>
      <c r="H105" s="185" t="s">
        <v>66</v>
      </c>
      <c r="I105" s="185" t="s">
        <v>73</v>
      </c>
      <c r="J105" s="185">
        <v>2.5</v>
      </c>
      <c r="K105" s="185" t="s">
        <v>84</v>
      </c>
      <c r="M105" s="208">
        <f t="shared" si="23"/>
        <v>2.5</v>
      </c>
      <c r="N105" s="156" t="str">
        <f t="shared" si="24"/>
        <v/>
      </c>
      <c r="O105" s="156" t="str">
        <f t="shared" si="25"/>
        <v/>
      </c>
      <c r="P105" s="155" t="str">
        <f t="shared" si="26"/>
        <v/>
      </c>
      <c r="Q105" s="208" t="str">
        <f t="shared" si="27"/>
        <v/>
      </c>
      <c r="R105" s="208" t="str">
        <f t="shared" si="28"/>
        <v/>
      </c>
      <c r="S105" s="208" t="str">
        <f t="shared" si="29"/>
        <v/>
      </c>
      <c r="T105" s="155"/>
      <c r="U105" s="155"/>
    </row>
    <row r="106" spans="2:33" s="177" customFormat="1" ht="15">
      <c r="B106" s="152">
        <v>5</v>
      </c>
      <c r="C106" s="152">
        <f t="shared" si="20"/>
        <v>38</v>
      </c>
      <c r="D106" s="152">
        <f t="shared" si="21"/>
        <v>6</v>
      </c>
      <c r="E106" s="152" t="str">
        <f t="shared" si="22"/>
        <v>5386</v>
      </c>
      <c r="F106" s="168" t="s">
        <v>181</v>
      </c>
      <c r="G106" s="162" t="s">
        <v>237</v>
      </c>
      <c r="H106" s="185" t="s">
        <v>66</v>
      </c>
      <c r="I106" s="185" t="s">
        <v>195</v>
      </c>
      <c r="J106" s="183">
        <v>1.8</v>
      </c>
      <c r="K106" s="185"/>
      <c r="M106" s="208" t="str">
        <f t="shared" si="23"/>
        <v/>
      </c>
      <c r="N106" s="156" t="str">
        <f t="shared" si="24"/>
        <v/>
      </c>
      <c r="O106" s="156" t="str">
        <f t="shared" si="25"/>
        <v/>
      </c>
      <c r="P106" s="155" t="str">
        <f t="shared" si="26"/>
        <v/>
      </c>
      <c r="Q106" s="208" t="str">
        <f t="shared" si="27"/>
        <v/>
      </c>
      <c r="R106" s="208">
        <f t="shared" si="28"/>
        <v>1.8</v>
      </c>
      <c r="S106" s="208" t="str">
        <f t="shared" si="29"/>
        <v/>
      </c>
      <c r="T106" s="155"/>
      <c r="U106" s="155"/>
    </row>
    <row r="109" spans="2:33">
      <c r="F109" s="191" t="s">
        <v>239</v>
      </c>
      <c r="G109" s="192"/>
      <c r="H109" s="193"/>
      <c r="I109" s="193"/>
      <c r="J109" s="194"/>
      <c r="K109" s="146"/>
      <c r="L109" s="146"/>
      <c r="M109" s="209"/>
      <c r="N109" s="195"/>
      <c r="O109" s="195"/>
      <c r="P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96"/>
    </row>
    <row r="110" spans="2:33" ht="44.25" customHeight="1">
      <c r="F110" s="897" t="s">
        <v>240</v>
      </c>
      <c r="G110" s="898"/>
      <c r="H110" s="898"/>
      <c r="I110" s="898"/>
      <c r="J110" s="898"/>
    </row>
  </sheetData>
  <mergeCells count="1">
    <mergeCell ref="F110:J11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2" workbookViewId="0">
      <selection activeCell="D20" sqref="D20"/>
    </sheetView>
  </sheetViews>
  <sheetFormatPr baseColWidth="10" defaultRowHeight="15"/>
  <sheetData>
    <row r="1" spans="1:17">
      <c r="A1" t="s">
        <v>126</v>
      </c>
    </row>
    <row r="3" spans="1:17">
      <c r="Q3" t="s">
        <v>243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9" zoomScale="110" zoomScaleNormal="110" zoomScalePageLayoutView="110" workbookViewId="0">
      <selection activeCell="D133" sqref="D133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9" workbookViewId="0">
      <selection activeCell="D20" sqref="D20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2" workbookViewId="0">
      <selection activeCell="D20" sqref="D20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7:Q9"/>
  <sheetViews>
    <sheetView topLeftCell="A5" workbookViewId="0">
      <selection activeCell="D20" sqref="D20"/>
    </sheetView>
  </sheetViews>
  <sheetFormatPr baseColWidth="10" defaultRowHeight="15"/>
  <sheetData>
    <row r="7" spans="16:17">
      <c r="P7" t="s">
        <v>127</v>
      </c>
      <c r="Q7" t="s">
        <v>128</v>
      </c>
    </row>
    <row r="8" spans="16:17">
      <c r="Q8" t="s">
        <v>129</v>
      </c>
    </row>
    <row r="9" spans="16:17">
      <c r="Q9" t="s">
        <v>130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D20" sqref="D20"/>
    </sheetView>
  </sheetViews>
  <sheetFormatPr baseColWidth="10" defaultRowHeight="15"/>
  <cols>
    <col min="1" max="1" width="23.140625" customWidth="1"/>
    <col min="3" max="3" width="12.7109375" bestFit="1" customWidth="1"/>
    <col min="9" max="9" width="19.85546875" customWidth="1"/>
    <col min="10" max="10" width="18.85546875" bestFit="1" customWidth="1"/>
    <col min="11" max="11" width="25.28515625" bestFit="1" customWidth="1"/>
    <col min="13" max="13" width="12.7109375" bestFit="1" customWidth="1"/>
    <col min="15" max="15" width="12.7109375" bestFit="1" customWidth="1"/>
  </cols>
  <sheetData>
    <row r="1" spans="1:16" s="12" customFormat="1">
      <c r="A1" s="90" t="s">
        <v>158</v>
      </c>
      <c r="I1" s="90" t="s">
        <v>159</v>
      </c>
    </row>
    <row r="2" spans="1:16">
      <c r="A2" s="94" t="s">
        <v>152</v>
      </c>
      <c r="B2" s="95"/>
      <c r="C2" s="96"/>
      <c r="D2" s="97"/>
      <c r="E2" s="98"/>
      <c r="F2" s="99"/>
      <c r="I2" s="106" t="s">
        <v>156</v>
      </c>
      <c r="J2" s="107"/>
      <c r="K2" s="107"/>
      <c r="L2" s="108" t="e">
        <v>#REF!</v>
      </c>
      <c r="M2" s="108" t="e">
        <v>#REF!</v>
      </c>
      <c r="N2" s="108" t="e">
        <v>#REF!</v>
      </c>
      <c r="O2" s="109" t="e">
        <v>#REF!</v>
      </c>
      <c r="P2" s="109" t="e">
        <v>#REF!</v>
      </c>
    </row>
    <row r="3" spans="1:16">
      <c r="A3" s="100" t="s">
        <v>153</v>
      </c>
      <c r="B3" s="101"/>
      <c r="C3" s="102"/>
      <c r="D3" s="899" t="e">
        <v>#REF!</v>
      </c>
      <c r="E3" s="900" t="e">
        <v>#REF!</v>
      </c>
      <c r="F3" s="901" t="e">
        <v>#REF!</v>
      </c>
      <c r="I3" s="112" t="s">
        <v>152</v>
      </c>
      <c r="J3" s="113"/>
      <c r="K3" s="113"/>
      <c r="L3" s="113"/>
      <c r="M3" s="113"/>
      <c r="N3" s="113"/>
      <c r="O3" s="117" t="e">
        <f>SUM(O4:O8)</f>
        <v>#REF!</v>
      </c>
      <c r="P3" s="113"/>
    </row>
    <row r="4" spans="1:16">
      <c r="A4" s="100" t="s">
        <v>154</v>
      </c>
      <c r="B4" s="101"/>
      <c r="C4" s="102"/>
      <c r="D4" s="899" t="e">
        <v>#REF!</v>
      </c>
      <c r="E4" s="900" t="e">
        <v>#REF!</v>
      </c>
      <c r="F4" s="901" t="e">
        <v>#REF!</v>
      </c>
      <c r="I4" s="113"/>
      <c r="J4" s="113"/>
      <c r="K4" s="114" t="s">
        <v>153</v>
      </c>
      <c r="L4" s="113" t="e">
        <v>#REF!</v>
      </c>
      <c r="M4" s="115" t="e">
        <v>#REF!</v>
      </c>
      <c r="N4" s="113" t="e">
        <v>#REF!</v>
      </c>
      <c r="O4" s="116" t="e">
        <v>#REF!</v>
      </c>
      <c r="P4" s="113"/>
    </row>
    <row r="5" spans="1:16">
      <c r="A5" s="100" t="s">
        <v>33</v>
      </c>
      <c r="B5" s="101"/>
      <c r="C5" s="102"/>
      <c r="D5" s="899" t="e">
        <v>#REF!</v>
      </c>
      <c r="E5" s="900" t="e">
        <v>#REF!</v>
      </c>
      <c r="F5" s="901" t="e">
        <v>#REF!</v>
      </c>
      <c r="I5" s="113"/>
      <c r="J5" s="113"/>
      <c r="K5" s="114" t="s">
        <v>154</v>
      </c>
      <c r="L5" s="113" t="e">
        <v>#REF!</v>
      </c>
      <c r="M5" s="115" t="e">
        <v>#REF!</v>
      </c>
      <c r="N5" s="113" t="e">
        <v>#REF!</v>
      </c>
      <c r="O5" s="116" t="e">
        <v>#REF!</v>
      </c>
      <c r="P5" s="113"/>
    </row>
    <row r="6" spans="1:16">
      <c r="A6" s="103" t="s">
        <v>155</v>
      </c>
      <c r="B6" s="104"/>
      <c r="C6" s="105"/>
      <c r="D6" s="902" t="e">
        <v>#REF!</v>
      </c>
      <c r="E6" s="903" t="e">
        <v>#REF!</v>
      </c>
      <c r="F6" s="904" t="e">
        <v>#REF!</v>
      </c>
      <c r="I6" s="113"/>
      <c r="J6" s="113"/>
      <c r="K6" s="114" t="s">
        <v>33</v>
      </c>
      <c r="L6" s="113" t="e">
        <v>#REF!</v>
      </c>
      <c r="M6" s="115" t="e">
        <v>#REF!</v>
      </c>
      <c r="N6" s="113" t="e">
        <v>#REF!</v>
      </c>
      <c r="O6" s="116" t="e">
        <v>#REF!</v>
      </c>
      <c r="P6" s="113"/>
    </row>
    <row r="7" spans="1:16">
      <c r="I7" s="113"/>
      <c r="J7" s="113"/>
      <c r="K7" s="114" t="s">
        <v>157</v>
      </c>
      <c r="L7" s="113" t="e">
        <v>#REF!</v>
      </c>
      <c r="M7" s="115" t="e">
        <v>#REF!</v>
      </c>
      <c r="N7" s="113" t="e">
        <v>#REF!</v>
      </c>
      <c r="O7" s="116" t="e">
        <v>#REF!</v>
      </c>
      <c r="P7" s="113"/>
    </row>
    <row r="8" spans="1:16">
      <c r="I8" s="113"/>
      <c r="J8" s="113"/>
      <c r="K8" s="114" t="s">
        <v>17</v>
      </c>
      <c r="L8" s="113" t="e">
        <v>#REF!</v>
      </c>
      <c r="M8" s="115" t="e">
        <v>#REF!</v>
      </c>
      <c r="N8" s="113" t="e">
        <v>#REF!</v>
      </c>
      <c r="O8" s="116" t="e">
        <v>#REF!</v>
      </c>
      <c r="P8" s="113"/>
    </row>
    <row r="11" spans="1:16">
      <c r="K11" s="121"/>
      <c r="M11" s="119"/>
      <c r="O11" s="75"/>
    </row>
    <row r="12" spans="1:16">
      <c r="K12" s="118"/>
    </row>
    <row r="13" spans="1:16">
      <c r="A13" s="106" t="s">
        <v>152</v>
      </c>
      <c r="B13" s="107"/>
    </row>
    <row r="14" spans="1:16">
      <c r="A14" s="107" t="s">
        <v>153</v>
      </c>
      <c r="B14" s="107">
        <v>2009</v>
      </c>
      <c r="C14" s="110">
        <v>1802607.452</v>
      </c>
      <c r="D14" s="107"/>
      <c r="E14" s="111">
        <v>1614341.4943357708</v>
      </c>
      <c r="F14" s="107"/>
    </row>
    <row r="15" spans="1:16">
      <c r="A15" s="107" t="s">
        <v>154</v>
      </c>
      <c r="B15" s="107">
        <v>2009</v>
      </c>
      <c r="C15" s="110">
        <v>12033000</v>
      </c>
      <c r="D15" s="107"/>
      <c r="E15" s="111">
        <v>10776262.563316159</v>
      </c>
      <c r="F15" s="107"/>
      <c r="J15" t="s">
        <v>161</v>
      </c>
    </row>
    <row r="16" spans="1:16">
      <c r="A16" s="107" t="s">
        <v>33</v>
      </c>
      <c r="B16" s="107">
        <v>2009</v>
      </c>
      <c r="C16" s="110">
        <v>887299.88</v>
      </c>
      <c r="D16" s="107"/>
      <c r="E16" s="111">
        <v>794629.47554881743</v>
      </c>
      <c r="F16" s="107"/>
      <c r="I16" s="78" t="s">
        <v>17</v>
      </c>
      <c r="J16" s="120">
        <v>16951296.108211</v>
      </c>
    </row>
    <row r="17" spans="3:10">
      <c r="I17" t="s">
        <v>18</v>
      </c>
      <c r="J17" s="75">
        <v>19151596.681249611</v>
      </c>
    </row>
    <row r="18" spans="3:10">
      <c r="C18" s="119"/>
      <c r="I18" s="78" t="s">
        <v>19</v>
      </c>
      <c r="J18" s="120">
        <v>563167.75094956253</v>
      </c>
    </row>
    <row r="19" spans="3:10">
      <c r="I19" t="s">
        <v>20</v>
      </c>
      <c r="J19" s="75">
        <v>8444730.2950748354</v>
      </c>
    </row>
    <row r="20" spans="3:10">
      <c r="I20" t="s">
        <v>21</v>
      </c>
      <c r="J20" s="75">
        <v>4881097.55</v>
      </c>
    </row>
    <row r="21" spans="3:10">
      <c r="I21" t="s">
        <v>22</v>
      </c>
      <c r="J21" s="75">
        <v>2313198.0914999242</v>
      </c>
    </row>
    <row r="22" spans="3:10">
      <c r="I22" t="s">
        <v>23</v>
      </c>
      <c r="J22" s="75">
        <v>13710304.635074835</v>
      </c>
    </row>
    <row r="23" spans="3:10">
      <c r="I23" t="s">
        <v>27</v>
      </c>
      <c r="J23" s="75">
        <v>466058.86</v>
      </c>
    </row>
    <row r="24" spans="3:10">
      <c r="I24" s="78" t="s">
        <v>24</v>
      </c>
      <c r="J24" s="120">
        <v>1750935.9540000001</v>
      </c>
    </row>
    <row r="25" spans="3:10">
      <c r="I25" t="s">
        <v>25</v>
      </c>
      <c r="J25" s="75">
        <v>5468448.244223603</v>
      </c>
    </row>
    <row r="26" spans="3:10">
      <c r="I26" t="s">
        <v>26</v>
      </c>
      <c r="J26" s="75">
        <v>7988617.0705679767</v>
      </c>
    </row>
    <row r="27" spans="3:10">
      <c r="I27" t="s">
        <v>160</v>
      </c>
      <c r="J27" s="75">
        <v>1855035</v>
      </c>
    </row>
  </sheetData>
  <mergeCells count="4">
    <mergeCell ref="D3:F3"/>
    <mergeCell ref="D4:F4"/>
    <mergeCell ref="D5:F5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zoomScalePageLayoutView="80" workbookViewId="0">
      <selection activeCell="D133" sqref="D133"/>
    </sheetView>
  </sheetViews>
  <sheetFormatPr baseColWidth="10" defaultColWidth="10.85546875" defaultRowHeight="15"/>
  <cols>
    <col min="1" max="16384" width="10.85546875" style="12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6" workbookViewId="0">
      <selection activeCell="D133" sqref="D133"/>
    </sheetView>
  </sheetViews>
  <sheetFormatPr baseColWidth="10" defaultColWidth="10.85546875" defaultRowHeight="15"/>
  <cols>
    <col min="1" max="16384" width="10.85546875" style="1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D133" sqref="D133"/>
    </sheetView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zoomScale="125" workbookViewId="0">
      <selection activeCell="C10" sqref="C10:D10"/>
    </sheetView>
  </sheetViews>
  <sheetFormatPr baseColWidth="10" defaultRowHeight="15"/>
  <cols>
    <col min="3" max="3" width="47.42578125" customWidth="1"/>
    <col min="4" max="4" width="35.5703125" customWidth="1"/>
  </cols>
  <sheetData>
    <row r="1" spans="2:5" s="328" customFormat="1"/>
    <row r="2" spans="2:5" s="328" customFormat="1"/>
    <row r="3" spans="2:5" s="328" customFormat="1"/>
    <row r="4" spans="2:5" s="328" customFormat="1"/>
    <row r="5" spans="2:5" s="328" customFormat="1"/>
    <row r="6" spans="2:5" s="328" customFormat="1" ht="96.95" customHeight="1">
      <c r="C6" s="825" t="s">
        <v>368</v>
      </c>
      <c r="D6" s="825"/>
    </row>
    <row r="7" spans="2:5" s="328" customFormat="1" ht="23.25">
      <c r="C7" s="826" t="s">
        <v>463</v>
      </c>
      <c r="D7" s="827"/>
    </row>
    <row r="8" spans="2:5" s="328" customFormat="1"/>
    <row r="9" spans="2:5" s="328" customFormat="1" ht="21">
      <c r="C9" s="828" t="s">
        <v>365</v>
      </c>
      <c r="D9" s="828"/>
    </row>
    <row r="10" spans="2:5" s="328" customFormat="1" ht="28.5">
      <c r="C10" s="829" t="s">
        <v>464</v>
      </c>
      <c r="D10" s="829"/>
    </row>
    <row r="11" spans="2:5" s="328" customFormat="1"/>
    <row r="12" spans="2:5" s="328" customFormat="1"/>
    <row r="13" spans="2:5" s="328" customFormat="1"/>
    <row r="14" spans="2:5" s="328" customFormat="1">
      <c r="B14" s="78" t="s">
        <v>461</v>
      </c>
      <c r="C14" s="78"/>
      <c r="D14" s="78"/>
      <c r="E14" s="78"/>
    </row>
    <row r="15" spans="2:5" s="328" customFormat="1">
      <c r="B15" s="78" t="s">
        <v>462</v>
      </c>
      <c r="C15" s="78"/>
      <c r="D15" s="78"/>
      <c r="E15" s="78"/>
    </row>
  </sheetData>
  <mergeCells count="4">
    <mergeCell ref="C6:D6"/>
    <mergeCell ref="C7:D7"/>
    <mergeCell ref="C9:D9"/>
    <mergeCell ref="C10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zoomScale="90" zoomScaleNormal="90" zoomScalePageLayoutView="90" workbookViewId="0">
      <selection activeCell="C6" sqref="C6"/>
    </sheetView>
  </sheetViews>
  <sheetFormatPr baseColWidth="10" defaultRowHeight="15" outlineLevelRow="2"/>
  <cols>
    <col min="1" max="1" width="10.85546875" style="328"/>
    <col min="2" max="2" width="59" style="77" customWidth="1"/>
    <col min="3" max="3" width="20.7109375" style="80" customWidth="1"/>
    <col min="4" max="4" width="13.5703125" bestFit="1" customWidth="1"/>
    <col min="5" max="5" width="11.140625" bestFit="1" customWidth="1"/>
    <col min="6" max="6" width="13.28515625" bestFit="1" customWidth="1"/>
  </cols>
  <sheetData>
    <row r="1" spans="1:3" s="328" customFormat="1">
      <c r="B1" s="330"/>
      <c r="C1" s="331"/>
    </row>
    <row r="2" spans="1:3" s="328" customFormat="1" ht="81.75" customHeight="1">
      <c r="B2" s="825" t="s">
        <v>368</v>
      </c>
      <c r="C2" s="825"/>
    </row>
    <row r="3" spans="1:3" s="328" customFormat="1" ht="23.25">
      <c r="B3" s="827">
        <v>2016</v>
      </c>
      <c r="C3" s="827"/>
    </row>
    <row r="4" spans="1:3" s="328" customFormat="1" ht="15.75" thickBot="1">
      <c r="B4" s="330"/>
      <c r="C4" s="331"/>
    </row>
    <row r="5" spans="1:3" s="312" customFormat="1" ht="21">
      <c r="B5" s="830" t="s">
        <v>367</v>
      </c>
      <c r="C5" s="327" t="str">
        <f>INSTRUCCIONES!C10</f>
        <v>Operador X</v>
      </c>
    </row>
    <row r="6" spans="1:3" s="89" customFormat="1" ht="21.75" thickBot="1">
      <c r="A6" s="334"/>
      <c r="B6" s="831"/>
      <c r="C6" s="426">
        <f t="shared" ref="C6" si="0">SUM(C7:C13)</f>
        <v>0.10396328100252254</v>
      </c>
    </row>
    <row r="7" spans="1:3" s="49" customFormat="1">
      <c r="A7" s="329"/>
      <c r="B7" s="356" t="s">
        <v>142</v>
      </c>
      <c r="C7" s="326">
        <f t="shared" ref="C7" si="1">C64</f>
        <v>9.2924598554113974E-3</v>
      </c>
    </row>
    <row r="8" spans="1:3" s="49" customFormat="1">
      <c r="A8" s="329"/>
      <c r="B8" s="356" t="s">
        <v>249</v>
      </c>
      <c r="C8" s="326">
        <f t="shared" ref="C8" si="2">C67</f>
        <v>1.3881094817089309E-2</v>
      </c>
    </row>
    <row r="9" spans="1:3" s="49" customFormat="1">
      <c r="A9" s="329"/>
      <c r="B9" s="356" t="s">
        <v>143</v>
      </c>
      <c r="C9" s="326">
        <f t="shared" ref="C9" si="3">C78</f>
        <v>6.9387786179597472E-3</v>
      </c>
    </row>
    <row r="10" spans="1:3" s="49" customFormat="1">
      <c r="A10" s="329"/>
      <c r="B10" s="356" t="s">
        <v>144</v>
      </c>
      <c r="C10" s="326">
        <f t="shared" ref="C10" si="4">C87</f>
        <v>2.2205714297561817E-2</v>
      </c>
    </row>
    <row r="11" spans="1:3" s="49" customFormat="1">
      <c r="A11" s="329"/>
      <c r="B11" s="356" t="s">
        <v>145</v>
      </c>
      <c r="C11" s="326">
        <f t="shared" ref="C11" si="5">C93</f>
        <v>4.9170828732679271E-2</v>
      </c>
    </row>
    <row r="12" spans="1:3" s="198" customFormat="1">
      <c r="A12" s="339"/>
      <c r="B12" s="357" t="s">
        <v>251</v>
      </c>
      <c r="C12" s="326">
        <f>C8*C53</f>
        <v>4.3447826777489538E-4</v>
      </c>
    </row>
    <row r="13" spans="1:3" s="198" customFormat="1" ht="15.75" thickBot="1">
      <c r="A13" s="339"/>
      <c r="B13" s="358" t="s">
        <v>252</v>
      </c>
      <c r="C13" s="315">
        <f>SUM(C7:C11)*C54</f>
        <v>2.0399264140461009E-3</v>
      </c>
    </row>
    <row r="14" spans="1:3" s="89" customFormat="1" ht="42.75" outlineLevel="1" thickBot="1">
      <c r="A14" s="334"/>
      <c r="B14" s="359" t="s">
        <v>298</v>
      </c>
      <c r="C14" s="324">
        <f t="shared" ref="C14" si="6">SUM(C15:C19)</f>
        <v>0.72574609715994343</v>
      </c>
    </row>
    <row r="15" spans="1:3" s="49" customFormat="1" outlineLevel="1">
      <c r="A15" s="329"/>
      <c r="B15" s="360" t="s">
        <v>142</v>
      </c>
      <c r="C15" s="326">
        <f t="shared" ref="C15" si="7">C62</f>
        <v>6.8659772031084476E-2</v>
      </c>
    </row>
    <row r="16" spans="1:3" s="49" customFormat="1" outlineLevel="1">
      <c r="A16" s="329"/>
      <c r="B16" s="360" t="s">
        <v>249</v>
      </c>
      <c r="C16" s="326">
        <f t="shared" ref="C16" si="8">C65</f>
        <v>0.10256410256410256</v>
      </c>
    </row>
    <row r="17" spans="1:6" s="49" customFormat="1" outlineLevel="1">
      <c r="A17" s="329"/>
      <c r="B17" s="360" t="s">
        <v>143</v>
      </c>
      <c r="C17" s="326">
        <f t="shared" ref="C17" si="9">C76</f>
        <v>2.5597310090587067E-2</v>
      </c>
    </row>
    <row r="18" spans="1:6" s="49" customFormat="1" outlineLevel="1">
      <c r="A18" s="329"/>
      <c r="B18" s="360" t="s">
        <v>144</v>
      </c>
      <c r="C18" s="326">
        <f t="shared" ref="C18" si="10">C85</f>
        <v>8.1917378540721439E-2</v>
      </c>
    </row>
    <row r="19" spans="1:6" s="49" customFormat="1" outlineLevel="1">
      <c r="A19" s="329"/>
      <c r="B19" s="360" t="s">
        <v>145</v>
      </c>
      <c r="C19" s="326">
        <f t="shared" ref="C19" si="11">C91</f>
        <v>0.44700753393344789</v>
      </c>
    </row>
    <row r="20" spans="1:6" s="198" customFormat="1" outlineLevel="1">
      <c r="A20" s="339"/>
      <c r="B20" s="361" t="s">
        <v>251</v>
      </c>
      <c r="C20" s="316">
        <f>C16*C53</f>
        <v>3.2102564102564103E-3</v>
      </c>
    </row>
    <row r="21" spans="1:6" s="198" customFormat="1" ht="15.75" outlineLevel="1" thickBot="1">
      <c r="A21" s="339"/>
      <c r="B21" s="361" t="s">
        <v>252</v>
      </c>
      <c r="C21" s="316">
        <f>SUM(C15:C19)*C54</f>
        <v>1.4587496552914863E-2</v>
      </c>
    </row>
    <row r="22" spans="1:6" s="89" customFormat="1" ht="21.75" outlineLevel="1" thickBot="1">
      <c r="A22" s="334"/>
      <c r="B22" s="362" t="s">
        <v>280</v>
      </c>
      <c r="C22" s="318"/>
    </row>
    <row r="23" spans="1:6" s="89" customFormat="1" ht="15.75" customHeight="1" outlineLevel="1" thickBot="1">
      <c r="A23" s="334"/>
      <c r="B23" s="352" t="s">
        <v>303</v>
      </c>
      <c r="C23" s="380"/>
    </row>
    <row r="24" spans="1:6" s="24" customFormat="1" outlineLevel="1">
      <c r="B24" s="235" t="s">
        <v>282</v>
      </c>
      <c r="C24" s="321">
        <f>Servicios_x_Recibo_Op</f>
        <v>2.6943808797355713</v>
      </c>
    </row>
    <row r="25" spans="1:6" s="12" customFormat="1" outlineLevel="1">
      <c r="A25" s="328"/>
      <c r="B25" s="363" t="s">
        <v>281</v>
      </c>
      <c r="C25" s="381">
        <f>Servicios_n_Competencia</f>
        <v>1</v>
      </c>
    </row>
    <row r="26" spans="1:6" s="12" customFormat="1" outlineLevel="1">
      <c r="A26" s="328"/>
      <c r="B26" s="364" t="s">
        <v>275</v>
      </c>
      <c r="C26" s="323">
        <f>Operadores_en_Competencia</f>
        <v>2</v>
      </c>
    </row>
    <row r="27" spans="1:6" s="223" customFormat="1" ht="15.75" outlineLevel="1" thickBot="1">
      <c r="A27" s="344"/>
      <c r="B27" s="365" t="s">
        <v>257</v>
      </c>
      <c r="C27" s="382">
        <f>Porcentaje_Recaudacion</f>
        <v>0.81932773109243695</v>
      </c>
    </row>
    <row r="28" spans="1:6" s="12" customFormat="1" ht="16.5" outlineLevel="1" thickBot="1">
      <c r="A28" s="328"/>
      <c r="B28" s="354" t="s">
        <v>302</v>
      </c>
      <c r="C28" s="317"/>
    </row>
    <row r="29" spans="1:6" s="12" customFormat="1" outlineLevel="1">
      <c r="A29" s="328"/>
      <c r="B29" s="363" t="s">
        <v>283</v>
      </c>
      <c r="C29" s="321">
        <f>Promedio_Pags_Recibo</f>
        <v>1.9092295957284515</v>
      </c>
    </row>
    <row r="30" spans="1:6" s="220" customFormat="1" outlineLevel="1">
      <c r="A30" s="341"/>
      <c r="B30" s="364" t="s">
        <v>306</v>
      </c>
      <c r="C30" s="325">
        <f>Promedio_HojasRecibos_FyR</f>
        <v>1.8445112245210673</v>
      </c>
    </row>
    <row r="31" spans="1:6" s="227" customFormat="1" outlineLevel="1">
      <c r="A31" s="348"/>
      <c r="B31" s="364" t="s">
        <v>253</v>
      </c>
      <c r="C31" s="325">
        <f>Paginas_Servicio_Atribuible</f>
        <v>0.27107452280743177</v>
      </c>
      <c r="F31" s="820">
        <f>C3111/(2*C30)</f>
        <v>0</v>
      </c>
    </row>
    <row r="32" spans="1:6" s="12" customFormat="1" outlineLevel="1">
      <c r="A32" s="328"/>
      <c r="B32" s="364" t="s">
        <v>276</v>
      </c>
      <c r="C32" s="319">
        <f>Servicios_Prom_x_ReciboFyR</f>
        <v>3.6943808797355713</v>
      </c>
      <c r="D32" s="815"/>
    </row>
    <row r="33" spans="1:4" s="12" customFormat="1" ht="15.75" outlineLevel="1" thickBot="1">
      <c r="A33" s="328"/>
      <c r="B33" s="366" t="s">
        <v>277</v>
      </c>
      <c r="C33" s="317">
        <f>C30/C32</f>
        <v>0.49927478637586764</v>
      </c>
    </row>
    <row r="34" spans="1:4" s="224" customFormat="1" ht="16.5" outlineLevel="1" thickBot="1">
      <c r="A34" s="345"/>
      <c r="B34" s="354" t="s">
        <v>311</v>
      </c>
      <c r="C34" s="383"/>
    </row>
    <row r="35" spans="1:4" s="12" customFormat="1" outlineLevel="1">
      <c r="A35" s="328"/>
      <c r="B35" s="367" t="s">
        <v>248</v>
      </c>
      <c r="C35" s="313">
        <f>Recibos_Totales</f>
        <v>47600000</v>
      </c>
    </row>
    <row r="36" spans="1:4" s="12" customFormat="1" outlineLevel="1">
      <c r="A36" s="328"/>
      <c r="B36" s="363" t="s">
        <v>320</v>
      </c>
      <c r="C36" s="322">
        <f>PromedioM_Recibos_Imp</f>
        <v>3083333.333333333</v>
      </c>
    </row>
    <row r="37" spans="1:4" s="229" customFormat="1" outlineLevel="1">
      <c r="A37" s="350"/>
      <c r="B37" s="363" t="s">
        <v>163</v>
      </c>
      <c r="C37" s="421">
        <f>Recibos_Recaudados_Total</f>
        <v>39000000</v>
      </c>
    </row>
    <row r="38" spans="1:4" s="12" customFormat="1" outlineLevel="1">
      <c r="A38" s="328"/>
      <c r="B38" s="363" t="s">
        <v>294</v>
      </c>
      <c r="C38" s="322">
        <f>C35-C39</f>
        <v>38915126.050420165</v>
      </c>
      <c r="D38" s="816"/>
    </row>
    <row r="39" spans="1:4" s="227" customFormat="1" outlineLevel="1">
      <c r="A39" s="348"/>
      <c r="B39" s="368" t="s">
        <v>256</v>
      </c>
      <c r="C39" s="314">
        <f>Recibos_Digitales_T</f>
        <v>8684873.9495798331</v>
      </c>
    </row>
    <row r="40" spans="1:4" s="225" customFormat="1" outlineLevel="1">
      <c r="A40" s="346"/>
      <c r="B40" s="363" t="s">
        <v>322</v>
      </c>
      <c r="C40" s="384">
        <f>Porcentaje_Recaudacion</f>
        <v>0.81932773109243695</v>
      </c>
    </row>
    <row r="41" spans="1:4" s="225" customFormat="1" outlineLevel="1">
      <c r="A41" s="346"/>
      <c r="B41" s="363" t="s">
        <v>321</v>
      </c>
      <c r="C41" s="384">
        <f>C39/C35</f>
        <v>0.18245533507520659</v>
      </c>
    </row>
    <row r="42" spans="1:4" s="227" customFormat="1" outlineLevel="1">
      <c r="A42" s="348"/>
      <c r="B42" s="364" t="s">
        <v>323</v>
      </c>
      <c r="C42" s="320"/>
    </row>
    <row r="43" spans="1:4" s="230" customFormat="1" outlineLevel="1">
      <c r="A43" s="351"/>
      <c r="B43" s="369" t="s">
        <v>254</v>
      </c>
      <c r="C43" s="323">
        <f>'BD-Inicio'!$F$43</f>
        <v>2600000</v>
      </c>
    </row>
    <row r="44" spans="1:4" s="227" customFormat="1" outlineLevel="1">
      <c r="A44" s="348"/>
      <c r="B44" s="363" t="s">
        <v>255</v>
      </c>
      <c r="C44" s="446">
        <f>Recibos_Recaudados_FyR</f>
        <v>2130252.1008403362</v>
      </c>
    </row>
    <row r="45" spans="1:4" s="230" customFormat="1" outlineLevel="1">
      <c r="A45" s="351"/>
      <c r="B45" s="363" t="s">
        <v>312</v>
      </c>
      <c r="C45" s="323">
        <f>C43-C46</f>
        <v>2490526.7989548761</v>
      </c>
    </row>
    <row r="46" spans="1:4" s="230" customFormat="1" outlineLevel="1">
      <c r="A46" s="351"/>
      <c r="B46" s="368" t="s">
        <v>295</v>
      </c>
      <c r="C46" s="447">
        <f>Recibos_FyR_Digitales</f>
        <v>109473.20104512396</v>
      </c>
    </row>
    <row r="47" spans="1:4" s="227" customFormat="1" outlineLevel="1">
      <c r="A47" s="348"/>
      <c r="B47" s="363" t="s">
        <v>324</v>
      </c>
      <c r="C47" s="353">
        <f>Factor_Servicio_FyR</f>
        <v>5.4621848739495799E-2</v>
      </c>
    </row>
    <row r="48" spans="1:4" s="225" customFormat="1" outlineLevel="1">
      <c r="A48" s="346"/>
      <c r="B48" s="363" t="s">
        <v>325</v>
      </c>
      <c r="C48" s="384">
        <f t="shared" ref="C48" si="12">IFERROR(C45/C$44,0)</f>
        <v>1.1691230338289162</v>
      </c>
    </row>
    <row r="49" spans="1:5" s="225" customFormat="1" outlineLevel="1">
      <c r="A49" s="346"/>
      <c r="B49" s="363" t="s">
        <v>326</v>
      </c>
      <c r="C49" s="384">
        <f t="shared" ref="C49" si="13">IFERROR(C46/C$44,0)</f>
        <v>5.1389786683904343E-2</v>
      </c>
    </row>
    <row r="50" spans="1:5" s="225" customFormat="1" ht="21.75" hidden="1" outlineLevel="2" thickBot="1">
      <c r="A50" s="346"/>
      <c r="B50" s="362" t="s">
        <v>327</v>
      </c>
      <c r="C50" s="394"/>
    </row>
    <row r="51" spans="1:5" s="227" customFormat="1" hidden="1" outlineLevel="2">
      <c r="A51" s="348"/>
      <c r="B51" s="395" t="s">
        <v>328</v>
      </c>
      <c r="C51" s="422">
        <f>Recibos_Otros_Op</f>
        <v>2130252.1008403362</v>
      </c>
    </row>
    <row r="52" spans="1:5" s="228" customFormat="1" outlineLevel="1" collapsed="1">
      <c r="A52" s="349"/>
      <c r="B52" s="364" t="s">
        <v>292</v>
      </c>
      <c r="C52" s="385">
        <f>Factor_Monto_Recaudacion</f>
        <v>0.11</v>
      </c>
    </row>
    <row r="53" spans="1:5" s="227" customFormat="1" outlineLevel="1">
      <c r="A53" s="348"/>
      <c r="B53" s="364" t="s">
        <v>307</v>
      </c>
      <c r="C53" s="353">
        <v>3.1300000000000001E-2</v>
      </c>
    </row>
    <row r="54" spans="1:5" s="227" customFormat="1" ht="15.75" outlineLevel="1" thickBot="1">
      <c r="A54" s="348"/>
      <c r="B54" s="370" t="s">
        <v>308</v>
      </c>
      <c r="C54" s="386">
        <v>2.01E-2</v>
      </c>
    </row>
    <row r="55" spans="1:5" s="226" customFormat="1" ht="15.75" outlineLevel="1" thickBot="1">
      <c r="A55" s="347"/>
      <c r="B55" s="355" t="s">
        <v>300</v>
      </c>
      <c r="C55" s="353">
        <f>Porcentaje_Recaudacion</f>
        <v>0.81932773109243695</v>
      </c>
      <c r="E55" s="821"/>
    </row>
    <row r="56" spans="1:5" s="91" customFormat="1" ht="21.75" outlineLevel="1" thickBot="1">
      <c r="A56" s="336"/>
      <c r="B56" s="362" t="s">
        <v>140</v>
      </c>
      <c r="C56" s="387">
        <f t="shared" ref="C56" si="14">SUM(C58:C60)</f>
        <v>371588.67403260432</v>
      </c>
    </row>
    <row r="57" spans="1:5" s="221" customFormat="1" ht="18.75" outlineLevel="1">
      <c r="A57" s="342"/>
      <c r="B57" s="371" t="s">
        <v>131</v>
      </c>
      <c r="C57" s="388">
        <f>Cx_Osiptel_VP*IF(C$47=0,1,C$47)</f>
        <v>726148.53248946532</v>
      </c>
    </row>
    <row r="58" spans="1:5" s="221" customFormat="1" ht="18.75" outlineLevel="1">
      <c r="A58" s="342"/>
      <c r="B58" s="371" t="s">
        <v>132</v>
      </c>
      <c r="C58" s="388">
        <f>Cx_Osiptel_Cargo*IF(C$47=0,1,C$47)</f>
        <v>146262.62361243626</v>
      </c>
    </row>
    <row r="59" spans="1:5" s="221" customFormat="1" ht="18.75" outlineLevel="1">
      <c r="A59" s="342"/>
      <c r="B59" s="371" t="s">
        <v>133</v>
      </c>
      <c r="C59" s="388">
        <f>Ox_Osiptel_Cargo*IF(C$47=0,1,C$47)</f>
        <v>218487.3949579832</v>
      </c>
    </row>
    <row r="60" spans="1:5" s="222" customFormat="1" ht="18.75" outlineLevel="1">
      <c r="A60" s="343"/>
      <c r="B60" s="372" t="s">
        <v>120</v>
      </c>
      <c r="C60" s="389">
        <f t="shared" ref="C60" si="15">C59*C53</f>
        <v>6838.6554621848745</v>
      </c>
    </row>
    <row r="61" spans="1:5" s="12" customFormat="1" outlineLevel="1">
      <c r="A61" s="328"/>
      <c r="B61" s="373"/>
      <c r="C61" s="390"/>
    </row>
    <row r="62" spans="1:5" s="220" customFormat="1" outlineLevel="1">
      <c r="A62" s="341"/>
      <c r="B62" s="374" t="s">
        <v>244</v>
      </c>
      <c r="C62" s="817">
        <f>C58/IF(C$47=0,C$37,C$44)</f>
        <v>6.8659772031084476E-2</v>
      </c>
    </row>
    <row r="63" spans="1:5" s="12" customFormat="1" outlineLevel="1">
      <c r="A63" s="328"/>
      <c r="B63" s="373" t="s">
        <v>149</v>
      </c>
      <c r="C63" s="818">
        <f>C62/C32</f>
        <v>1.8584919710822795E-2</v>
      </c>
    </row>
    <row r="64" spans="1:5" s="126" customFormat="1" outlineLevel="1">
      <c r="A64" s="338"/>
      <c r="B64" s="373" t="s">
        <v>142</v>
      </c>
      <c r="C64" s="818">
        <f>C63/C26</f>
        <v>9.2924598554113974E-3</v>
      </c>
    </row>
    <row r="65" spans="1:3" s="87" customFormat="1" outlineLevel="1">
      <c r="A65" s="332"/>
      <c r="B65" s="374" t="s">
        <v>250</v>
      </c>
      <c r="C65" s="817">
        <f>C59/IF(C$47=0,C$37,C$44)</f>
        <v>0.10256410256410256</v>
      </c>
    </row>
    <row r="66" spans="1:3" s="12" customFormat="1" outlineLevel="1">
      <c r="A66" s="328"/>
      <c r="B66" s="373" t="s">
        <v>149</v>
      </c>
      <c r="C66" s="818">
        <f>C65/C32</f>
        <v>2.7762189634178619E-2</v>
      </c>
    </row>
    <row r="67" spans="1:3" s="126" customFormat="1" ht="15.75" outlineLevel="1" thickBot="1">
      <c r="A67" s="338"/>
      <c r="B67" s="375" t="s">
        <v>249</v>
      </c>
      <c r="C67" s="819">
        <f>C66/C26</f>
        <v>1.3881094817089309E-2</v>
      </c>
    </row>
    <row r="68" spans="1:3" s="91" customFormat="1" ht="21.75" outlineLevel="1" thickBot="1">
      <c r="A68" s="336"/>
      <c r="B68" s="376" t="s">
        <v>146</v>
      </c>
      <c r="C68" s="391">
        <f>SUM(C69,C80,C89)</f>
        <v>1181272.1295812246</v>
      </c>
    </row>
    <row r="69" spans="1:3" s="12" customFormat="1" ht="15.75" outlineLevel="1">
      <c r="A69" s="328"/>
      <c r="B69" s="377" t="s">
        <v>99</v>
      </c>
      <c r="C69" s="448">
        <f t="shared" ref="C69" si="16">SUM(C70:C73)</f>
        <v>54528.723596334639</v>
      </c>
    </row>
    <row r="70" spans="1:3" s="12" customFormat="1" outlineLevel="1">
      <c r="A70" s="328"/>
      <c r="B70" s="373" t="s">
        <v>101</v>
      </c>
      <c r="C70" s="449">
        <f>IF(C$47=0,SUMPRODUCT(Hojas,HxRecibos_Total,Costo_Preforma),SUMPRODUCT(Hojas,HxRecibos_FyR,Costo_Preforma))/IF(Moneda_Preforma="USD",1,TC_OSIPTEL)</f>
        <v>7321.782538792012</v>
      </c>
    </row>
    <row r="71" spans="1:3" s="12" customFormat="1" outlineLevel="1">
      <c r="A71" s="328"/>
      <c r="B71" s="373" t="s">
        <v>48</v>
      </c>
      <c r="C71" s="449">
        <f>IF(C$47=0,SUMPRODUCT(Hojas,HxRecibos_Total,Costo_Impresion),SUMPRODUCT(Hojas,HxRecibos_FyR,Costo_Impresion))/IF(Moneda_Impresion="USD",1,TC_OSIPTEL)</f>
        <v>36575.767275546641</v>
      </c>
    </row>
    <row r="72" spans="1:3" outlineLevel="1">
      <c r="B72" s="373" t="s">
        <v>49</v>
      </c>
      <c r="C72" s="449">
        <f>IF(C$47=0,SUMPRODUCT(HxRecibos_Total,Costo_Ensobrado),SUMPRODUCT(HxRecibos_FyR,Costo_Ensobrado))/IF(Moneda_Sobre="USD",1,TC_OSIPTEL)</f>
        <v>8283.1795796121642</v>
      </c>
    </row>
    <row r="73" spans="1:3" s="12" customFormat="1" outlineLevel="1">
      <c r="A73" s="328"/>
      <c r="B73" s="373" t="s">
        <v>147</v>
      </c>
      <c r="C73" s="449">
        <f>IF(C$47=0,C39*Costo_Emision_D,C46*Costo_Emision_D)/IF(Moneda_Emision_D="USD",1,TC_OSIPTEL)</f>
        <v>2347.9942023838239</v>
      </c>
    </row>
    <row r="74" spans="1:3" s="12" customFormat="1" outlineLevel="1">
      <c r="A74" s="328"/>
      <c r="B74" s="378"/>
      <c r="C74" s="449"/>
    </row>
    <row r="75" spans="1:3" s="12" customFormat="1" outlineLevel="1">
      <c r="A75" s="328"/>
      <c r="B75" s="373"/>
      <c r="C75" s="449"/>
    </row>
    <row r="76" spans="1:3" s="87" customFormat="1" outlineLevel="1">
      <c r="A76" s="332"/>
      <c r="B76" s="420" t="s">
        <v>245</v>
      </c>
      <c r="C76" s="450">
        <f>C69/IF(C$47=0,C$37,C$44)</f>
        <v>2.5597310090587067E-2</v>
      </c>
    </row>
    <row r="77" spans="1:3" s="12" customFormat="1" outlineLevel="1">
      <c r="A77" s="328"/>
      <c r="B77" s="373" t="s">
        <v>149</v>
      </c>
      <c r="C77" s="451">
        <f>C76*C31</f>
        <v>6.9387786179597472E-3</v>
      </c>
    </row>
    <row r="78" spans="1:3" s="126" customFormat="1" outlineLevel="1">
      <c r="A78" s="338"/>
      <c r="B78" s="419" t="s">
        <v>297</v>
      </c>
      <c r="C78" s="452">
        <f>C77</f>
        <v>6.9387786179597472E-3</v>
      </c>
    </row>
    <row r="79" spans="1:3" ht="15.75" outlineLevel="1" thickBot="1">
      <c r="B79" s="375"/>
      <c r="C79" s="453"/>
    </row>
    <row r="80" spans="1:3" ht="20.100000000000001" customHeight="1" outlineLevel="1">
      <c r="B80" s="379" t="s">
        <v>65</v>
      </c>
      <c r="C80" s="448">
        <f t="shared" ref="C80" si="17">SUM(C81:C83)</f>
        <v>174504.66773170492</v>
      </c>
    </row>
    <row r="81" spans="1:3" s="49" customFormat="1" outlineLevel="1">
      <c r="A81" s="329"/>
      <c r="B81" s="360" t="s">
        <v>51</v>
      </c>
      <c r="C81" s="454">
        <f>IF(C$47=0,D_Lima,DLima_FyR)*Costo_D_Lima/IF(Moneda_Distribucion="USD",1,TC_OSIPTEL)</f>
        <v>109040.42647884261</v>
      </c>
    </row>
    <row r="82" spans="1:3" s="49" customFormat="1" outlineLevel="1">
      <c r="A82" s="329"/>
      <c r="B82" s="360" t="s">
        <v>52</v>
      </c>
      <c r="C82" s="454">
        <f>IF(C$47=0,Costo_D_Provincia*D_Provincia,Costo_D_Provincia*DProvincia_FyR)/IF(Moneda_Distribucion="USD",1,TC_OSIPTEL)</f>
        <v>62768.6587848688</v>
      </c>
    </row>
    <row r="83" spans="1:3" s="49" customFormat="1" outlineLevel="1">
      <c r="A83" s="329"/>
      <c r="B83" s="360" t="s">
        <v>148</v>
      </c>
      <c r="C83" s="454">
        <f>IF(C$47=0,C39*Costo_D_Digital,C46*Costo_D_Digital)/IF(Moneda_Distribucion="USD",1,TC_OSIPTEL)</f>
        <v>2695.5824679935135</v>
      </c>
    </row>
    <row r="84" spans="1:3" s="12" customFormat="1" outlineLevel="1">
      <c r="A84" s="328"/>
      <c r="B84" s="373"/>
      <c r="C84" s="455"/>
    </row>
    <row r="85" spans="1:3" s="87" customFormat="1" outlineLevel="1">
      <c r="A85" s="332"/>
      <c r="B85" s="420" t="s">
        <v>246</v>
      </c>
      <c r="C85" s="456">
        <f>C80/IF(C$47=0,C$37,C$44)</f>
        <v>8.1917378540721439E-2</v>
      </c>
    </row>
    <row r="86" spans="1:3" s="12" customFormat="1" outlineLevel="1">
      <c r="A86" s="328"/>
      <c r="B86" s="373" t="s">
        <v>149</v>
      </c>
      <c r="C86" s="455">
        <f>C85*C31</f>
        <v>2.2205714297561817E-2</v>
      </c>
    </row>
    <row r="87" spans="1:3" s="126" customFormat="1" outlineLevel="1">
      <c r="A87" s="338"/>
      <c r="B87" s="419" t="s">
        <v>144</v>
      </c>
      <c r="C87" s="457">
        <f>C86</f>
        <v>2.2205714297561817E-2</v>
      </c>
    </row>
    <row r="88" spans="1:3" s="49" customFormat="1" ht="15.75" outlineLevel="1" thickBot="1">
      <c r="A88" s="329"/>
      <c r="B88" s="360"/>
      <c r="C88" s="454"/>
    </row>
    <row r="89" spans="1:3" s="90" customFormat="1" ht="16.5" outlineLevel="1" thickBot="1">
      <c r="A89" s="335"/>
      <c r="B89" s="379" t="s">
        <v>141</v>
      </c>
      <c r="C89" s="458">
        <f>IF(C$47=0,C$37,C44)*Costo_Recaudación_x_Recibo/IF(Moneda_Recaudacion="USD",1,TC_OSIPTEL)</f>
        <v>952238.73825318518</v>
      </c>
    </row>
    <row r="90" spans="1:3" s="12" customFormat="1" outlineLevel="1">
      <c r="A90" s="328"/>
      <c r="B90" s="423"/>
      <c r="C90" s="459"/>
    </row>
    <row r="91" spans="1:3" s="87" customFormat="1" outlineLevel="1">
      <c r="A91" s="332"/>
      <c r="B91" s="418" t="s">
        <v>247</v>
      </c>
      <c r="C91" s="460">
        <f>C89/IF(C$47=0,C$37,C$44)</f>
        <v>0.44700753393344789</v>
      </c>
    </row>
    <row r="92" spans="1:3" s="12" customFormat="1" outlineLevel="1">
      <c r="A92" s="328"/>
      <c r="B92" s="417" t="s">
        <v>149</v>
      </c>
      <c r="C92" s="461">
        <f>C91*C52</f>
        <v>4.9170828732679271E-2</v>
      </c>
    </row>
    <row r="93" spans="1:3" s="126" customFormat="1" ht="15.75" outlineLevel="1" thickBot="1">
      <c r="A93" s="338"/>
      <c r="B93" s="424" t="s">
        <v>145</v>
      </c>
      <c r="C93" s="462">
        <f>C92</f>
        <v>4.9170828732679271E-2</v>
      </c>
    </row>
    <row r="95" spans="1:3" ht="46.5" customHeight="1">
      <c r="C95" s="234"/>
    </row>
    <row r="96" spans="1:3" ht="45" customHeight="1">
      <c r="C96" s="232"/>
    </row>
    <row r="97" spans="3:3" ht="15" customHeight="1">
      <c r="C97" s="232"/>
    </row>
  </sheetData>
  <mergeCells count="3">
    <mergeCell ref="B5:B6"/>
    <mergeCell ref="B2:C2"/>
    <mergeCell ref="B3:C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8"/>
  <sheetViews>
    <sheetView showGridLines="0" tabSelected="1" topLeftCell="D1" zoomScale="80" zoomScaleNormal="80" zoomScalePageLayoutView="70" workbookViewId="0">
      <selection activeCell="F112" sqref="F112:F114"/>
    </sheetView>
  </sheetViews>
  <sheetFormatPr baseColWidth="10" defaultColWidth="10.85546875" defaultRowHeight="18.75" outlineLevelRow="1"/>
  <cols>
    <col min="1" max="1" width="4" style="12" customWidth="1"/>
    <col min="2" max="2" width="12.28515625" style="12" customWidth="1"/>
    <col min="3" max="3" width="54.85546875" style="12" bestFit="1" customWidth="1"/>
    <col min="4" max="4" width="18.42578125" style="12" customWidth="1"/>
    <col min="5" max="5" width="16" style="596" customWidth="1"/>
    <col min="6" max="6" width="36.28515625" style="679" customWidth="1"/>
    <col min="7" max="7" width="20.28515625" style="822" customWidth="1"/>
    <col min="8" max="8" width="13" style="126" bestFit="1" customWidth="1"/>
    <col min="9" max="9" width="13.5703125" style="126" bestFit="1" customWidth="1"/>
    <col min="10" max="17" width="10.85546875" style="126"/>
    <col min="18" max="16384" width="10.85546875" style="12"/>
  </cols>
  <sheetData>
    <row r="1" spans="1:17" s="239" customFormat="1" ht="38.25" customHeight="1" thickBot="1">
      <c r="B1" s="484"/>
      <c r="C1" s="485" t="s">
        <v>318</v>
      </c>
      <c r="D1" s="428"/>
      <c r="E1" s="556" t="s">
        <v>205</v>
      </c>
      <c r="F1" s="660" t="str">
        <f>Resumen!C5</f>
        <v>Operador X</v>
      </c>
      <c r="G1" s="811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2" spans="1:17" s="126" customFormat="1">
      <c r="A2" s="217"/>
      <c r="B2" s="217"/>
      <c r="C2" s="218"/>
      <c r="D2" s="218"/>
      <c r="E2" s="557"/>
      <c r="F2" s="661"/>
      <c r="G2" s="822"/>
    </row>
    <row r="3" spans="1:17" s="126" customFormat="1" ht="19.5" thickBot="1">
      <c r="A3" s="217"/>
      <c r="B3" s="217"/>
      <c r="C3" s="218"/>
      <c r="D3" s="218"/>
      <c r="E3" s="557"/>
      <c r="F3" s="661"/>
      <c r="G3" s="822"/>
    </row>
    <row r="4" spans="1:17" s="126" customFormat="1" ht="19.5" thickBot="1">
      <c r="A4" s="217"/>
      <c r="B4" s="477"/>
      <c r="C4" s="483" t="s">
        <v>358</v>
      </c>
      <c r="D4" s="478"/>
      <c r="E4" s="558"/>
      <c r="F4" s="662" t="str">
        <f>F1</f>
        <v>Operador X</v>
      </c>
      <c r="G4" s="822"/>
    </row>
    <row r="5" spans="1:17" s="126" customFormat="1">
      <c r="A5" s="217"/>
      <c r="B5" s="479"/>
      <c r="C5" s="257"/>
      <c r="D5" s="258"/>
      <c r="E5" s="559" t="s">
        <v>2</v>
      </c>
      <c r="F5" s="663">
        <v>8.2000000000000003E-2</v>
      </c>
      <c r="G5" s="822"/>
    </row>
    <row r="6" spans="1:17" s="126" customFormat="1">
      <c r="A6" s="217"/>
      <c r="B6" s="479"/>
      <c r="C6" s="259"/>
      <c r="D6" s="260"/>
      <c r="E6" s="560" t="s">
        <v>355</v>
      </c>
      <c r="F6" s="664">
        <v>3.0865178039321783</v>
      </c>
      <c r="G6" s="822"/>
    </row>
    <row r="7" spans="1:17" s="126" customFormat="1">
      <c r="A7" s="217"/>
      <c r="B7" s="479"/>
      <c r="C7" s="259"/>
      <c r="D7" s="260"/>
      <c r="E7" s="560" t="s">
        <v>356</v>
      </c>
      <c r="F7" s="665">
        <v>5</v>
      </c>
      <c r="G7" s="822"/>
    </row>
    <row r="8" spans="1:17" s="126" customFormat="1">
      <c r="A8" s="217"/>
      <c r="B8" s="479"/>
      <c r="C8" s="259"/>
      <c r="D8" s="260"/>
      <c r="E8" s="560" t="s">
        <v>357</v>
      </c>
      <c r="F8" s="666">
        <f t="shared" ref="F8" si="0">F5/(1-POWER(1+F5,-F7))</f>
        <v>0.25177807478141218</v>
      </c>
      <c r="G8" s="822"/>
    </row>
    <row r="9" spans="1:17" s="126" customFormat="1">
      <c r="A9" s="217"/>
      <c r="B9" s="479"/>
      <c r="C9" s="259"/>
      <c r="D9" s="260"/>
      <c r="E9" s="560" t="s">
        <v>110</v>
      </c>
      <c r="F9" s="667">
        <v>42248</v>
      </c>
      <c r="G9" s="822"/>
    </row>
    <row r="10" spans="1:17" s="126" customFormat="1" ht="19.5" thickBot="1">
      <c r="A10" s="217"/>
      <c r="B10" s="480"/>
      <c r="C10" s="261"/>
      <c r="D10" s="262"/>
      <c r="E10" s="561" t="s">
        <v>364</v>
      </c>
      <c r="F10" s="668">
        <v>0.05</v>
      </c>
      <c r="G10" s="822"/>
    </row>
    <row r="11" spans="1:17" s="126" customFormat="1">
      <c r="A11" s="217"/>
      <c r="B11" s="217"/>
      <c r="C11" s="218"/>
      <c r="D11" s="218"/>
      <c r="E11" s="557"/>
      <c r="F11" s="661"/>
      <c r="G11" s="822"/>
    </row>
    <row r="12" spans="1:17" s="126" customFormat="1" ht="19.5" thickBot="1">
      <c r="A12" s="217"/>
      <c r="B12" s="217"/>
      <c r="C12" s="218"/>
      <c r="D12" s="218"/>
      <c r="E12" s="557"/>
      <c r="F12" s="661"/>
      <c r="G12" s="822"/>
    </row>
    <row r="13" spans="1:17" s="126" customFormat="1" ht="19.5" thickBot="1">
      <c r="A13" s="217"/>
      <c r="B13" s="482"/>
      <c r="C13" s="495" t="s">
        <v>360</v>
      </c>
      <c r="D13" s="428"/>
      <c r="E13" s="556"/>
      <c r="F13" s="669" t="str">
        <f>F1</f>
        <v>Operador X</v>
      </c>
      <c r="G13" s="822"/>
    </row>
    <row r="14" spans="1:17" s="126" customFormat="1">
      <c r="A14" s="217"/>
      <c r="B14" s="479"/>
      <c r="C14" s="499"/>
      <c r="D14" s="478"/>
      <c r="E14" s="562" t="s">
        <v>361</v>
      </c>
      <c r="F14" s="670"/>
      <c r="G14" s="822"/>
    </row>
    <row r="15" spans="1:17" s="126" customFormat="1">
      <c r="A15" s="217"/>
      <c r="B15" s="479"/>
      <c r="C15" s="497"/>
      <c r="D15" s="263"/>
      <c r="E15" s="563" t="s">
        <v>456</v>
      </c>
      <c r="F15" s="737">
        <v>35000000</v>
      </c>
      <c r="G15" s="822"/>
    </row>
    <row r="16" spans="1:17" s="126" customFormat="1">
      <c r="A16" s="217"/>
      <c r="B16" s="479"/>
      <c r="C16" s="497"/>
      <c r="D16" s="263"/>
      <c r="E16" s="563" t="s">
        <v>457</v>
      </c>
      <c r="F16" s="737">
        <v>2000000</v>
      </c>
      <c r="G16" s="822"/>
    </row>
    <row r="17" spans="1:9" s="126" customFormat="1">
      <c r="A17" s="217"/>
      <c r="B17" s="479"/>
      <c r="C17" s="497"/>
      <c r="D17" s="263"/>
      <c r="E17" s="563" t="s">
        <v>431</v>
      </c>
      <c r="F17" s="737">
        <v>10000000</v>
      </c>
      <c r="G17" s="822"/>
    </row>
    <row r="18" spans="1:9" s="126" customFormat="1" ht="19.5" thickBot="1">
      <c r="A18" s="217"/>
      <c r="B18" s="479"/>
      <c r="C18" s="498"/>
      <c r="D18" s="481"/>
      <c r="E18" s="564" t="s">
        <v>432</v>
      </c>
      <c r="F18" s="737">
        <v>600000</v>
      </c>
      <c r="G18" s="822"/>
    </row>
    <row r="19" spans="1:9" s="126" customFormat="1">
      <c r="A19" s="217"/>
      <c r="B19" s="479"/>
      <c r="C19" s="496"/>
      <c r="D19" s="264"/>
      <c r="E19" s="565" t="s">
        <v>362</v>
      </c>
      <c r="F19" s="671"/>
      <c r="G19" s="812"/>
    </row>
    <row r="20" spans="1:9" s="126" customFormat="1">
      <c r="A20" s="217"/>
      <c r="B20" s="479"/>
      <c r="C20" s="497"/>
      <c r="D20" s="263"/>
      <c r="E20" s="563" t="s">
        <v>433</v>
      </c>
      <c r="F20" s="737">
        <v>29000000</v>
      </c>
      <c r="G20" s="812"/>
    </row>
    <row r="21" spans="1:9" s="126" customFormat="1">
      <c r="A21" s="217"/>
      <c r="B21" s="479"/>
      <c r="C21" s="497"/>
      <c r="D21" s="263"/>
      <c r="E21" s="563" t="s">
        <v>434</v>
      </c>
      <c r="F21" s="737">
        <v>1500000</v>
      </c>
      <c r="G21" s="812"/>
    </row>
    <row r="22" spans="1:9" s="126" customFormat="1">
      <c r="A22" s="217"/>
      <c r="B22" s="479"/>
      <c r="C22" s="497"/>
      <c r="D22" s="263"/>
      <c r="E22" s="563" t="s">
        <v>435</v>
      </c>
      <c r="F22" s="737">
        <v>6000000</v>
      </c>
      <c r="G22" s="812"/>
    </row>
    <row r="23" spans="1:9" s="126" customFormat="1" ht="19.5" thickBot="1">
      <c r="A23" s="217"/>
      <c r="B23" s="479"/>
      <c r="C23" s="498"/>
      <c r="D23" s="481"/>
      <c r="E23" s="564" t="s">
        <v>436</v>
      </c>
      <c r="F23" s="737">
        <v>500000</v>
      </c>
      <c r="G23" s="812"/>
    </row>
    <row r="24" spans="1:9" s="126" customFormat="1">
      <c r="A24" s="217"/>
      <c r="B24" s="479"/>
      <c r="C24" s="496"/>
      <c r="D24" s="264"/>
      <c r="E24" s="565" t="s">
        <v>446</v>
      </c>
      <c r="F24" s="671"/>
      <c r="G24" s="822"/>
    </row>
    <row r="25" spans="1:9" s="338" customFormat="1">
      <c r="A25" s="217"/>
      <c r="B25" s="479"/>
      <c r="C25" s="497"/>
      <c r="D25" s="263"/>
      <c r="E25" s="563" t="s">
        <v>459</v>
      </c>
      <c r="F25" s="738">
        <f>SUM(F15:F18)</f>
        <v>47600000</v>
      </c>
      <c r="G25" s="812"/>
      <c r="I25" s="813"/>
    </row>
    <row r="26" spans="1:9" s="126" customFormat="1">
      <c r="A26" s="217"/>
      <c r="B26" s="479"/>
      <c r="C26" s="497"/>
      <c r="D26" s="263"/>
      <c r="E26" s="563" t="s">
        <v>458</v>
      </c>
      <c r="F26" s="738">
        <f>F15+F16</f>
        <v>37000000</v>
      </c>
      <c r="G26" s="822"/>
      <c r="H26" s="736"/>
    </row>
    <row r="27" spans="1:9" s="126" customFormat="1">
      <c r="A27" s="217"/>
      <c r="B27" s="479"/>
      <c r="C27" s="497"/>
      <c r="D27" s="263"/>
      <c r="E27" s="563" t="s">
        <v>359</v>
      </c>
      <c r="F27" s="738">
        <f>F17+F18</f>
        <v>10600000</v>
      </c>
      <c r="G27" s="822"/>
    </row>
    <row r="28" spans="1:9" s="126" customFormat="1">
      <c r="A28" s="217"/>
      <c r="B28" s="479"/>
      <c r="C28" s="497"/>
      <c r="D28" s="263"/>
      <c r="E28" s="563" t="s">
        <v>460</v>
      </c>
      <c r="F28" s="738">
        <f>F16+F18</f>
        <v>2600000</v>
      </c>
      <c r="G28" s="822"/>
    </row>
    <row r="29" spans="1:9" s="126" customFormat="1">
      <c r="A29" s="217"/>
      <c r="B29" s="479"/>
      <c r="C29" s="497"/>
      <c r="D29" s="263"/>
      <c r="E29" s="563" t="s">
        <v>437</v>
      </c>
      <c r="F29" s="738">
        <f>F20+F21</f>
        <v>30500000</v>
      </c>
      <c r="G29" s="822"/>
    </row>
    <row r="30" spans="1:9" s="126" customFormat="1" ht="19.5" thickBot="1">
      <c r="A30" s="217"/>
      <c r="B30" s="479"/>
      <c r="C30" s="498"/>
      <c r="D30" s="481"/>
      <c r="E30" s="564" t="s">
        <v>438</v>
      </c>
      <c r="F30" s="739">
        <f>F22+F23</f>
        <v>6500000</v>
      </c>
      <c r="G30" s="822"/>
    </row>
    <row r="31" spans="1:9" s="126" customFormat="1">
      <c r="A31" s="217"/>
      <c r="B31" s="479"/>
      <c r="C31" s="798"/>
      <c r="D31" s="799"/>
      <c r="E31" s="800" t="s">
        <v>442</v>
      </c>
      <c r="F31" s="801">
        <f t="shared" ref="F31" si="1">F26/(F26+F27)</f>
        <v>0.77731092436974791</v>
      </c>
      <c r="G31" s="823"/>
    </row>
    <row r="32" spans="1:9" s="126" customFormat="1">
      <c r="A32" s="217"/>
      <c r="B32" s="479"/>
      <c r="C32" s="802"/>
      <c r="D32" s="803"/>
      <c r="E32" s="804" t="s">
        <v>443</v>
      </c>
      <c r="F32" s="805">
        <f>F27/(F27+F26)</f>
        <v>0.22268907563025211</v>
      </c>
      <c r="G32" s="824"/>
    </row>
    <row r="33" spans="1:9" s="126" customFormat="1">
      <c r="A33" s="217"/>
      <c r="B33" s="479"/>
      <c r="C33" s="806"/>
      <c r="D33" s="807"/>
      <c r="E33" s="808" t="s">
        <v>444</v>
      </c>
      <c r="F33" s="809">
        <f t="shared" ref="F33" si="2">F29/(F29+F30)</f>
        <v>0.82432432432432434</v>
      </c>
      <c r="G33" s="822"/>
    </row>
    <row r="34" spans="1:9" s="126" customFormat="1">
      <c r="A34" s="217"/>
      <c r="B34" s="479"/>
      <c r="C34" s="802"/>
      <c r="D34" s="803"/>
      <c r="E34" s="804" t="s">
        <v>445</v>
      </c>
      <c r="F34" s="805">
        <f t="shared" ref="F34" si="3">F30/(F29+F30)</f>
        <v>0.17567567567567569</v>
      </c>
      <c r="G34" s="822"/>
    </row>
    <row r="35" spans="1:9" s="338" customFormat="1">
      <c r="A35" s="217"/>
      <c r="B35" s="479"/>
      <c r="C35" s="806"/>
      <c r="D35" s="807"/>
      <c r="E35" s="808" t="s">
        <v>439</v>
      </c>
      <c r="F35" s="809">
        <f>ROUND(IFERROR(F21/(F21+F23),F33),2)</f>
        <v>0.75</v>
      </c>
      <c r="G35" s="822"/>
    </row>
    <row r="36" spans="1:9" s="338" customFormat="1">
      <c r="A36" s="217"/>
      <c r="B36" s="479"/>
      <c r="C36" s="802"/>
      <c r="D36" s="803"/>
      <c r="E36" s="804" t="s">
        <v>440</v>
      </c>
      <c r="F36" s="805">
        <f>ROUND(IFERROR(F23/(F21+F23),F34),2)</f>
        <v>0.25</v>
      </c>
      <c r="G36" s="822"/>
    </row>
    <row r="37" spans="1:9" s="338" customFormat="1">
      <c r="A37" s="217"/>
      <c r="B37" s="479"/>
      <c r="C37" s="497"/>
      <c r="D37" s="263"/>
      <c r="E37" s="563" t="s">
        <v>465</v>
      </c>
      <c r="F37" s="658">
        <f>F28/F25</f>
        <v>5.4621848739495799E-2</v>
      </c>
      <c r="G37" s="822"/>
    </row>
    <row r="38" spans="1:9" s="338" customFormat="1" ht="19.5" thickBot="1">
      <c r="A38" s="217"/>
      <c r="B38" s="480"/>
      <c r="C38" s="498"/>
      <c r="D38" s="481"/>
      <c r="E38" s="564" t="s">
        <v>441</v>
      </c>
      <c r="F38" s="659">
        <f>F18/F28</f>
        <v>0.23076923076923078</v>
      </c>
      <c r="G38" s="822"/>
    </row>
    <row r="39" spans="1:9" s="126" customFormat="1" ht="19.5" thickBot="1">
      <c r="A39" s="217"/>
      <c r="B39" s="217"/>
      <c r="C39" s="218"/>
      <c r="D39" s="218"/>
      <c r="E39" s="557"/>
      <c r="F39" s="661"/>
      <c r="G39" s="822"/>
    </row>
    <row r="40" spans="1:9" ht="26.25" customHeight="1" thickBot="1">
      <c r="B40" s="414"/>
      <c r="C40" s="397" t="s">
        <v>447</v>
      </c>
      <c r="D40" s="397"/>
      <c r="E40" s="566"/>
      <c r="F40" s="735"/>
    </row>
    <row r="41" spans="1:9" ht="26.25" customHeight="1">
      <c r="B41" s="832" t="s">
        <v>270</v>
      </c>
      <c r="C41" s="538"/>
      <c r="D41" s="539"/>
      <c r="E41" s="584" t="s">
        <v>409</v>
      </c>
      <c r="F41" s="471">
        <f>F118+F101</f>
        <v>47600000</v>
      </c>
      <c r="G41" s="812"/>
    </row>
    <row r="42" spans="1:9" ht="26.25">
      <c r="B42" s="832"/>
      <c r="C42" s="540"/>
      <c r="D42" s="266"/>
      <c r="E42" s="574" t="s">
        <v>382</v>
      </c>
      <c r="F42" s="740">
        <v>39000000</v>
      </c>
      <c r="G42" s="812"/>
      <c r="H42" s="338"/>
      <c r="I42" s="338"/>
    </row>
    <row r="43" spans="1:9" ht="26.25">
      <c r="B43" s="832"/>
      <c r="C43" s="540"/>
      <c r="D43" s="266"/>
      <c r="E43" s="574" t="s">
        <v>408</v>
      </c>
      <c r="F43" s="740">
        <f>F102+F119</f>
        <v>2600000</v>
      </c>
      <c r="G43" s="812"/>
      <c r="H43" s="494"/>
      <c r="I43" s="338"/>
    </row>
    <row r="44" spans="1:9" ht="26.25">
      <c r="B44" s="832"/>
      <c r="C44" s="540"/>
      <c r="D44" s="266"/>
      <c r="E44" s="574" t="s">
        <v>448</v>
      </c>
      <c r="F44" s="740">
        <f>F43*F50</f>
        <v>2130252.1008403362</v>
      </c>
      <c r="G44" s="812"/>
      <c r="H44" s="494"/>
      <c r="I44" s="338"/>
    </row>
    <row r="45" spans="1:9" s="125" customFormat="1">
      <c r="B45" s="832"/>
      <c r="C45" s="541"/>
      <c r="D45" s="284"/>
      <c r="E45" s="585" t="s">
        <v>287</v>
      </c>
      <c r="F45" s="468">
        <f>(F120*F188)+(F103*F187)</f>
        <v>2.6943808797355713</v>
      </c>
      <c r="G45" s="812"/>
      <c r="H45" s="797"/>
      <c r="I45" s="337"/>
    </row>
    <row r="46" spans="1:9" s="125" customFormat="1">
      <c r="B46" s="832"/>
      <c r="C46" s="541"/>
      <c r="D46" s="284"/>
      <c r="E46" s="585" t="s">
        <v>288</v>
      </c>
      <c r="F46" s="468">
        <f>AVERAGE(F121,F104)</f>
        <v>1</v>
      </c>
      <c r="G46" s="812"/>
      <c r="H46" s="797"/>
    </row>
    <row r="47" spans="1:9" s="125" customFormat="1">
      <c r="B47" s="832"/>
      <c r="C47" s="541"/>
      <c r="D47" s="284"/>
      <c r="E47" s="585" t="s">
        <v>289</v>
      </c>
      <c r="F47" s="468">
        <f>AVERAGE(F122,F105)</f>
        <v>2</v>
      </c>
      <c r="G47" s="812"/>
      <c r="H47" s="797"/>
    </row>
    <row r="48" spans="1:9" s="125" customFormat="1">
      <c r="B48" s="832"/>
      <c r="C48" s="541"/>
      <c r="D48" s="284"/>
      <c r="E48" s="585" t="s">
        <v>449</v>
      </c>
      <c r="F48" s="469">
        <f>F44/F42</f>
        <v>5.4621848739495799E-2</v>
      </c>
      <c r="G48" s="812"/>
      <c r="H48" s="797"/>
    </row>
    <row r="49" spans="1:17" s="125" customFormat="1">
      <c r="B49" s="832"/>
      <c r="C49" s="541"/>
      <c r="D49" s="542"/>
      <c r="E49" s="585" t="s">
        <v>450</v>
      </c>
      <c r="F49" s="468">
        <f>F45+F46</f>
        <v>3.6943808797355713</v>
      </c>
      <c r="G49" s="812"/>
      <c r="H49" s="797"/>
    </row>
    <row r="50" spans="1:17" s="125" customFormat="1">
      <c r="B50" s="832"/>
      <c r="C50" s="541"/>
      <c r="D50" s="284"/>
      <c r="E50" s="585" t="s">
        <v>301</v>
      </c>
      <c r="F50" s="469">
        <f t="shared" ref="F50" si="4">F42/F41</f>
        <v>0.81932773109243695</v>
      </c>
      <c r="G50" s="812"/>
      <c r="H50" s="797"/>
    </row>
    <row r="51" spans="1:17" s="125" customFormat="1" ht="19.5" thickBot="1">
      <c r="B51" s="833"/>
      <c r="C51" s="543"/>
      <c r="D51" s="285"/>
      <c r="E51" s="586" t="s">
        <v>363</v>
      </c>
      <c r="F51" s="470">
        <v>0.11</v>
      </c>
      <c r="G51" s="812"/>
      <c r="H51" s="797"/>
    </row>
    <row r="52" spans="1:17" s="125" customFormat="1" ht="19.5" thickBot="1">
      <c r="E52" s="581"/>
      <c r="F52" s="672"/>
      <c r="G52" s="812"/>
      <c r="H52" s="797"/>
    </row>
    <row r="53" spans="1:17" s="126" customFormat="1" ht="26.25">
      <c r="B53" s="403"/>
      <c r="C53" s="397" t="s">
        <v>349</v>
      </c>
      <c r="D53" s="411"/>
      <c r="E53" s="566"/>
      <c r="F53" s="673"/>
      <c r="G53" s="812"/>
      <c r="H53" s="797"/>
    </row>
    <row r="54" spans="1:17" s="216" customFormat="1">
      <c r="B54" s="838" t="s">
        <v>350</v>
      </c>
      <c r="C54" s="412"/>
      <c r="D54" s="413"/>
      <c r="E54" s="587" t="s">
        <v>291</v>
      </c>
      <c r="F54" s="427">
        <v>12</v>
      </c>
      <c r="G54" s="812"/>
      <c r="H54" s="797"/>
      <c r="I54" s="217"/>
      <c r="J54" s="217"/>
      <c r="K54" s="217"/>
      <c r="L54" s="217"/>
      <c r="M54" s="217"/>
      <c r="N54" s="217"/>
      <c r="O54" s="217"/>
      <c r="P54" s="217"/>
      <c r="Q54" s="217"/>
    </row>
    <row r="55" spans="1:17" s="126" customFormat="1" ht="26.25">
      <c r="B55" s="838"/>
      <c r="C55" s="265"/>
      <c r="D55" s="266"/>
      <c r="E55" s="574" t="s">
        <v>453</v>
      </c>
      <c r="F55" s="467">
        <f>Recibos_Recaudados_Total</f>
        <v>39000000</v>
      </c>
      <c r="G55" s="812"/>
      <c r="H55" s="797"/>
    </row>
    <row r="56" spans="1:17" s="75" customFormat="1">
      <c r="B56" s="838"/>
      <c r="C56" s="267"/>
      <c r="D56" s="268"/>
      <c r="E56" s="588" t="s">
        <v>454</v>
      </c>
      <c r="F56" s="741">
        <f>F55*F31</f>
        <v>30315126.050420169</v>
      </c>
      <c r="G56" s="812"/>
      <c r="H56" s="797"/>
      <c r="I56" s="210"/>
      <c r="J56" s="210"/>
      <c r="K56" s="210"/>
      <c r="L56" s="210"/>
      <c r="M56" s="210"/>
      <c r="N56" s="210"/>
      <c r="O56" s="210"/>
      <c r="P56" s="210"/>
      <c r="Q56" s="210"/>
    </row>
    <row r="57" spans="1:17" s="126" customFormat="1">
      <c r="B57" s="838"/>
      <c r="C57" s="269"/>
      <c r="D57" s="269"/>
      <c r="E57" s="589" t="s">
        <v>455</v>
      </c>
      <c r="F57" s="741">
        <f>F55*F32</f>
        <v>8684873.9495798331</v>
      </c>
      <c r="G57" s="812"/>
      <c r="H57" s="797"/>
    </row>
    <row r="58" spans="1:17" s="126" customFormat="1">
      <c r="B58" s="838"/>
      <c r="C58" s="269"/>
      <c r="D58" s="269"/>
      <c r="E58" s="589" t="s">
        <v>395</v>
      </c>
      <c r="F58" s="742">
        <f>F44*F63</f>
        <v>1655868.2296447991</v>
      </c>
      <c r="G58" s="812"/>
      <c r="H58" s="797"/>
    </row>
    <row r="59" spans="1:17" s="126" customFormat="1">
      <c r="B59" s="838"/>
      <c r="C59" s="269"/>
      <c r="D59" s="269"/>
      <c r="E59" s="589" t="s">
        <v>396</v>
      </c>
      <c r="F59" s="465">
        <f>Recibos_Otros_Op*F38*Porcentaje_Recibos_D</f>
        <v>109473.20104512396</v>
      </c>
      <c r="G59" s="812"/>
      <c r="H59" s="797"/>
    </row>
    <row r="60" spans="1:17" s="126" customFormat="1">
      <c r="B60" s="838"/>
      <c r="C60" s="269"/>
      <c r="D60" s="269"/>
      <c r="E60" s="589" t="s">
        <v>451</v>
      </c>
      <c r="F60" s="465">
        <f>F100</f>
        <v>680000</v>
      </c>
      <c r="G60" s="812"/>
      <c r="H60" s="797"/>
    </row>
    <row r="61" spans="1:17" s="126" customFormat="1">
      <c r="B61" s="838"/>
      <c r="C61" s="269"/>
      <c r="D61" s="269"/>
      <c r="E61" s="589" t="s">
        <v>452</v>
      </c>
      <c r="F61" s="465">
        <f>F117</f>
        <v>1920000</v>
      </c>
      <c r="G61" s="812"/>
      <c r="H61" s="797"/>
    </row>
    <row r="62" spans="1:17">
      <c r="B62" s="838"/>
      <c r="C62" s="269"/>
      <c r="D62" s="269"/>
      <c r="E62" s="589" t="s">
        <v>278</v>
      </c>
      <c r="F62" s="554">
        <f>F57/F55</f>
        <v>0.22268907563025214</v>
      </c>
      <c r="G62" s="812"/>
      <c r="H62" s="797"/>
    </row>
    <row r="63" spans="1:17" ht="19.5" thickBot="1">
      <c r="B63" s="839"/>
      <c r="C63" s="270"/>
      <c r="D63" s="270"/>
      <c r="E63" s="590" t="s">
        <v>279</v>
      </c>
      <c r="F63" s="555">
        <f t="shared" ref="F63" si="5">F56/F55</f>
        <v>0.77731092436974791</v>
      </c>
      <c r="G63" s="812"/>
      <c r="H63" s="797"/>
    </row>
    <row r="64" spans="1:17" s="126" customFormat="1" ht="19.5" thickBot="1">
      <c r="A64" s="217"/>
      <c r="B64" s="217"/>
      <c r="C64" s="218"/>
      <c r="D64" s="218"/>
      <c r="E64" s="557"/>
      <c r="F64" s="661"/>
      <c r="G64" s="812"/>
      <c r="H64" s="797"/>
    </row>
    <row r="65" spans="2:8" s="126" customFormat="1" ht="27" thickBot="1">
      <c r="B65" s="340"/>
      <c r="C65" s="405" t="s">
        <v>330</v>
      </c>
      <c r="D65" s="396"/>
      <c r="E65" s="566"/>
      <c r="F65" s="673"/>
      <c r="G65" s="812"/>
      <c r="H65" s="797"/>
    </row>
    <row r="66" spans="2:8" ht="42.75" customHeight="1" thickBot="1">
      <c r="B66" s="834"/>
      <c r="C66" s="408"/>
      <c r="D66" s="408"/>
      <c r="E66" s="565" t="s">
        <v>319</v>
      </c>
      <c r="F66" s="674" t="str">
        <f>F1</f>
        <v>Operador X</v>
      </c>
      <c r="G66" s="812"/>
      <c r="H66" s="797"/>
    </row>
    <row r="67" spans="2:8">
      <c r="B67" s="835"/>
      <c r="C67" s="280"/>
      <c r="D67" s="280"/>
      <c r="E67" s="567">
        <v>41913</v>
      </c>
      <c r="F67" s="743">
        <v>3966666.6666666665</v>
      </c>
      <c r="G67" s="812"/>
      <c r="H67" s="797"/>
    </row>
    <row r="68" spans="2:8">
      <c r="B68" s="835"/>
      <c r="C68" s="280"/>
      <c r="D68" s="280"/>
      <c r="E68" s="567">
        <v>41944</v>
      </c>
      <c r="F68" s="743">
        <v>3966666.6666666665</v>
      </c>
      <c r="G68" s="812"/>
      <c r="H68" s="797"/>
    </row>
    <row r="69" spans="2:8">
      <c r="B69" s="835"/>
      <c r="C69" s="280"/>
      <c r="D69" s="280"/>
      <c r="E69" s="567">
        <v>41974</v>
      </c>
      <c r="F69" s="743">
        <v>3966666.6666666665</v>
      </c>
      <c r="G69" s="812"/>
      <c r="H69" s="797"/>
    </row>
    <row r="70" spans="2:8">
      <c r="B70" s="835"/>
      <c r="C70" s="280"/>
      <c r="D70" s="280"/>
      <c r="E70" s="567">
        <v>42005</v>
      </c>
      <c r="F70" s="743">
        <v>3966666.6666666665</v>
      </c>
      <c r="G70" s="812"/>
      <c r="H70" s="797"/>
    </row>
    <row r="71" spans="2:8">
      <c r="B71" s="835"/>
      <c r="C71" s="280"/>
      <c r="D71" s="280"/>
      <c r="E71" s="567">
        <v>42036</v>
      </c>
      <c r="F71" s="743">
        <v>3966666.6666666665</v>
      </c>
      <c r="G71" s="812"/>
      <c r="H71" s="797"/>
    </row>
    <row r="72" spans="2:8">
      <c r="B72" s="835"/>
      <c r="C72" s="280"/>
      <c r="D72" s="280"/>
      <c r="E72" s="567">
        <v>42064</v>
      </c>
      <c r="F72" s="743">
        <v>3966666.6666666665</v>
      </c>
      <c r="G72" s="812"/>
      <c r="H72" s="797"/>
    </row>
    <row r="73" spans="2:8">
      <c r="B73" s="835"/>
      <c r="C73" s="280"/>
      <c r="D73" s="280"/>
      <c r="E73" s="567">
        <v>42095</v>
      </c>
      <c r="F73" s="743">
        <v>3966666.6666666665</v>
      </c>
      <c r="G73" s="812"/>
      <c r="H73" s="797"/>
    </row>
    <row r="74" spans="2:8">
      <c r="B74" s="835"/>
      <c r="C74" s="280"/>
      <c r="D74" s="280"/>
      <c r="E74" s="567">
        <v>42125</v>
      </c>
      <c r="F74" s="743">
        <v>3966666.6666666665</v>
      </c>
      <c r="G74" s="812"/>
      <c r="H74" s="797"/>
    </row>
    <row r="75" spans="2:8">
      <c r="B75" s="835"/>
      <c r="C75" s="280"/>
      <c r="D75" s="280"/>
      <c r="E75" s="567">
        <v>42156</v>
      </c>
      <c r="F75" s="743">
        <v>3966666.6666666665</v>
      </c>
      <c r="G75" s="812"/>
      <c r="H75" s="797"/>
    </row>
    <row r="76" spans="2:8">
      <c r="B76" s="835"/>
      <c r="C76" s="280"/>
      <c r="D76" s="280"/>
      <c r="E76" s="567">
        <v>42186</v>
      </c>
      <c r="F76" s="743">
        <v>3966666.6666666665</v>
      </c>
      <c r="G76" s="812"/>
      <c r="H76" s="797"/>
    </row>
    <row r="77" spans="2:8">
      <c r="B77" s="835"/>
      <c r="C77" s="280"/>
      <c r="D77" s="280"/>
      <c r="E77" s="567">
        <v>42217</v>
      </c>
      <c r="F77" s="743">
        <v>3966666.6666666665</v>
      </c>
      <c r="G77" s="812"/>
      <c r="H77" s="797"/>
    </row>
    <row r="78" spans="2:8" ht="19.5" thickBot="1">
      <c r="B78" s="835"/>
      <c r="C78" s="280"/>
      <c r="D78" s="280"/>
      <c r="E78" s="567">
        <v>42248</v>
      </c>
      <c r="F78" s="743">
        <v>3966666.6666666665</v>
      </c>
      <c r="G78" s="812"/>
      <c r="H78" s="797"/>
    </row>
    <row r="79" spans="2:8" ht="19.5" thickBot="1">
      <c r="B79" s="835"/>
      <c r="C79" s="408"/>
      <c r="D79" s="408"/>
      <c r="E79" s="565" t="s">
        <v>114</v>
      </c>
      <c r="F79" s="675">
        <f>SUM(F67:F78)</f>
        <v>47599999.999999993</v>
      </c>
      <c r="G79" s="812"/>
      <c r="H79" s="797"/>
    </row>
    <row r="80" spans="2:8">
      <c r="B80" s="835"/>
      <c r="C80" s="280"/>
      <c r="D80" s="552"/>
      <c r="E80" s="568" t="s">
        <v>309</v>
      </c>
      <c r="F80" s="676">
        <f>AVERAGE(F68:F78)</f>
        <v>3966666.666666666</v>
      </c>
      <c r="G80" s="812"/>
      <c r="H80" s="797"/>
    </row>
    <row r="81" spans="1:8" ht="19.5" thickBot="1">
      <c r="B81" s="836"/>
      <c r="C81" s="281"/>
      <c r="D81" s="553"/>
      <c r="E81" s="569" t="s">
        <v>310</v>
      </c>
      <c r="F81" s="677">
        <f>F80*F31</f>
        <v>3083333.333333333</v>
      </c>
      <c r="G81" s="812"/>
      <c r="H81" s="797"/>
    </row>
    <row r="82" spans="1:8">
      <c r="B82" s="243"/>
      <c r="C82" s="77"/>
      <c r="D82" s="253"/>
      <c r="E82" s="570"/>
      <c r="F82" s="678"/>
      <c r="G82" s="812"/>
      <c r="H82" s="797"/>
    </row>
    <row r="83" spans="1:8">
      <c r="G83" s="812"/>
      <c r="H83" s="797"/>
    </row>
    <row r="84" spans="1:8" s="126" customFormat="1" ht="21">
      <c r="A84" s="217"/>
      <c r="B84" s="622" t="s">
        <v>410</v>
      </c>
      <c r="C84" s="218"/>
      <c r="D84" s="218"/>
      <c r="E84" s="557"/>
      <c r="F84" s="661"/>
      <c r="G84" s="812"/>
      <c r="H84" s="797"/>
    </row>
    <row r="85" spans="1:8" s="126" customFormat="1" ht="26.25">
      <c r="C85" s="214" t="s">
        <v>329</v>
      </c>
      <c r="D85" s="82"/>
      <c r="E85" s="571"/>
      <c r="F85" s="680"/>
      <c r="G85" s="812"/>
      <c r="H85" s="797"/>
    </row>
    <row r="86" spans="1:8" s="126" customFormat="1" ht="19.5" thickBot="1">
      <c r="C86" s="212"/>
      <c r="D86" s="212"/>
      <c r="E86" s="572"/>
      <c r="F86" s="211"/>
      <c r="G86" s="812"/>
      <c r="H86" s="797"/>
    </row>
    <row r="87" spans="1:8" s="126" customFormat="1" ht="26.25" customHeight="1">
      <c r="B87" s="834" t="s">
        <v>241</v>
      </c>
      <c r="C87" s="476"/>
      <c r="D87" s="397" t="s">
        <v>241</v>
      </c>
      <c r="E87" s="566"/>
      <c r="F87" s="673"/>
      <c r="G87" s="812"/>
      <c r="H87" s="797"/>
    </row>
    <row r="88" spans="1:8" s="125" customFormat="1" outlineLevel="1">
      <c r="B88" s="835"/>
      <c r="C88" s="544"/>
      <c r="D88" s="545"/>
      <c r="E88" s="575" t="s">
        <v>314</v>
      </c>
      <c r="F88" s="681"/>
      <c r="G88" s="812"/>
      <c r="H88" s="797"/>
    </row>
    <row r="89" spans="1:8" s="125" customFormat="1" outlineLevel="1">
      <c r="B89" s="835"/>
      <c r="C89" s="284"/>
      <c r="D89" s="284"/>
      <c r="E89" s="576" t="s">
        <v>103</v>
      </c>
      <c r="F89" s="744">
        <v>6100000</v>
      </c>
      <c r="G89" s="812"/>
      <c r="H89" s="797"/>
    </row>
    <row r="90" spans="1:8" s="125" customFormat="1" outlineLevel="1">
      <c r="B90" s="835"/>
      <c r="C90" s="284"/>
      <c r="D90" s="284"/>
      <c r="E90" s="576" t="s">
        <v>87</v>
      </c>
      <c r="F90" s="744">
        <v>200000</v>
      </c>
      <c r="G90" s="812"/>
      <c r="H90" s="797"/>
    </row>
    <row r="91" spans="1:8" s="125" customFormat="1" outlineLevel="1">
      <c r="B91" s="835"/>
      <c r="C91" s="549"/>
      <c r="D91" s="284"/>
      <c r="E91" s="576" t="s">
        <v>106</v>
      </c>
      <c r="F91" s="744">
        <v>900000</v>
      </c>
      <c r="G91" s="812"/>
      <c r="H91" s="797"/>
    </row>
    <row r="92" spans="1:8" s="125" customFormat="1" outlineLevel="1">
      <c r="B92" s="835"/>
      <c r="C92" s="549"/>
      <c r="D92" s="284"/>
      <c r="E92" s="576" t="s">
        <v>105</v>
      </c>
      <c r="F92" s="744">
        <v>900000</v>
      </c>
      <c r="G92" s="812"/>
      <c r="H92" s="797"/>
    </row>
    <row r="93" spans="1:8" s="125" customFormat="1" outlineLevel="1">
      <c r="B93" s="835"/>
      <c r="C93" s="549"/>
      <c r="D93" s="284"/>
      <c r="E93" s="576" t="s">
        <v>104</v>
      </c>
      <c r="F93" s="744">
        <v>13500000</v>
      </c>
      <c r="G93" s="812"/>
      <c r="H93" s="797"/>
    </row>
    <row r="94" spans="1:8" s="125" customFormat="1" outlineLevel="1">
      <c r="B94" s="835"/>
      <c r="C94" s="546"/>
      <c r="D94" s="545"/>
      <c r="E94" s="575" t="s">
        <v>316</v>
      </c>
      <c r="F94" s="681"/>
      <c r="G94" s="812"/>
      <c r="H94" s="797"/>
    </row>
    <row r="95" spans="1:8" s="125" customFormat="1" outlineLevel="1">
      <c r="B95" s="835"/>
      <c r="C95" s="614"/>
      <c r="D95" s="284"/>
      <c r="E95" s="576">
        <v>1</v>
      </c>
      <c r="F95" s="665">
        <f>F89+F90</f>
        <v>6300000</v>
      </c>
      <c r="G95" s="812"/>
      <c r="H95" s="797"/>
    </row>
    <row r="96" spans="1:8" s="125" customFormat="1" outlineLevel="1">
      <c r="B96" s="835"/>
      <c r="C96" s="614"/>
      <c r="D96" s="284"/>
      <c r="E96" s="576">
        <v>2</v>
      </c>
      <c r="F96" s="665">
        <f>F91+F92</f>
        <v>1800000</v>
      </c>
      <c r="G96" s="812"/>
      <c r="H96" s="797"/>
    </row>
    <row r="97" spans="2:8" s="125" customFormat="1" outlineLevel="1">
      <c r="B97" s="835"/>
      <c r="C97" s="615"/>
      <c r="D97" s="616"/>
      <c r="E97" s="617">
        <v>3</v>
      </c>
      <c r="F97" s="905">
        <f>F93</f>
        <v>13500000</v>
      </c>
      <c r="G97" s="812"/>
      <c r="H97" s="797"/>
    </row>
    <row r="98" spans="2:8" s="125" customFormat="1" outlineLevel="1">
      <c r="B98" s="835"/>
      <c r="C98" s="284"/>
      <c r="D98" s="549"/>
      <c r="E98" s="560" t="s">
        <v>266</v>
      </c>
      <c r="F98" s="745"/>
      <c r="G98" s="812"/>
      <c r="H98" s="797"/>
    </row>
    <row r="99" spans="2:8" s="125" customFormat="1" outlineLevel="1">
      <c r="B99" s="835"/>
      <c r="C99" s="284"/>
      <c r="D99" s="284"/>
      <c r="E99" s="576" t="s">
        <v>264</v>
      </c>
      <c r="F99" s="744">
        <v>0</v>
      </c>
      <c r="G99" s="812"/>
      <c r="H99" s="797"/>
    </row>
    <row r="100" spans="2:8" s="125" customFormat="1" ht="19.5" outlineLevel="1" thickBot="1">
      <c r="B100" s="835"/>
      <c r="C100" s="285"/>
      <c r="D100" s="612"/>
      <c r="E100" s="613" t="s">
        <v>102</v>
      </c>
      <c r="F100" s="746">
        <v>680000</v>
      </c>
      <c r="G100" s="812"/>
      <c r="H100" s="797"/>
    </row>
    <row r="101" spans="2:8" s="125" customFormat="1">
      <c r="B101" s="835"/>
      <c r="C101" s="544"/>
      <c r="D101" s="545"/>
      <c r="E101" s="573" t="s">
        <v>409</v>
      </c>
      <c r="F101" s="472">
        <f>SUM(F89:F93)</f>
        <v>21600000</v>
      </c>
      <c r="G101" s="812"/>
      <c r="H101" s="797"/>
    </row>
    <row r="102" spans="2:8" s="125" customFormat="1">
      <c r="B102" s="835"/>
      <c r="C102" s="544"/>
      <c r="D102" s="545"/>
      <c r="E102" s="573" t="s">
        <v>408</v>
      </c>
      <c r="F102" s="472">
        <f>F100</f>
        <v>680000</v>
      </c>
      <c r="G102" s="812"/>
      <c r="H102" s="797"/>
    </row>
    <row r="103" spans="2:8" s="125" customFormat="1">
      <c r="B103" s="835"/>
      <c r="C103" s="546"/>
      <c r="D103" s="545"/>
      <c r="E103" s="578" t="s">
        <v>315</v>
      </c>
      <c r="F103" s="682">
        <f>IFERROR(SUMPRODUCT($E95:$E97,F95:F97)/SUM(F95:F97),0)</f>
        <v>2.3333333333333335</v>
      </c>
      <c r="G103" s="812"/>
      <c r="H103" s="797"/>
    </row>
    <row r="104" spans="2:8" s="125" customFormat="1">
      <c r="B104" s="835"/>
      <c r="C104" s="550"/>
      <c r="D104" s="551"/>
      <c r="E104" s="580" t="s">
        <v>265</v>
      </c>
      <c r="F104" s="683">
        <v>1</v>
      </c>
      <c r="G104" s="812"/>
      <c r="H104" s="797"/>
    </row>
    <row r="105" spans="2:8" s="125" customFormat="1">
      <c r="B105" s="835"/>
      <c r="C105" s="284"/>
      <c r="D105" s="284"/>
      <c r="E105" s="568" t="s">
        <v>275</v>
      </c>
      <c r="F105" s="684">
        <v>2</v>
      </c>
      <c r="G105" s="812"/>
      <c r="H105" s="797"/>
    </row>
    <row r="106" spans="2:8" s="125" customFormat="1" ht="19.5" thickBot="1">
      <c r="B106" s="836"/>
      <c r="C106" s="285"/>
      <c r="D106" s="285"/>
      <c r="E106" s="569" t="s">
        <v>286</v>
      </c>
      <c r="F106" s="685">
        <f>IFERROR(F100/F101,0)</f>
        <v>3.1481481481481478E-2</v>
      </c>
      <c r="G106" s="812"/>
      <c r="H106" s="797"/>
    </row>
    <row r="107" spans="2:8" s="125" customFormat="1" ht="19.5" thickBot="1">
      <c r="B107" s="237"/>
      <c r="E107" s="581"/>
      <c r="F107" s="686"/>
      <c r="G107" s="812"/>
      <c r="H107" s="797"/>
    </row>
    <row r="108" spans="2:8" s="125" customFormat="1" ht="28.5" customHeight="1">
      <c r="B108" s="837" t="s">
        <v>317</v>
      </c>
      <c r="C108" s="397"/>
      <c r="D108" s="397" t="s">
        <v>242</v>
      </c>
      <c r="E108" s="582"/>
      <c r="F108" s="687"/>
      <c r="G108" s="812"/>
      <c r="H108" s="797"/>
    </row>
    <row r="109" spans="2:8" s="125" customFormat="1">
      <c r="B109" s="838"/>
      <c r="C109" s="544"/>
      <c r="D109" s="545"/>
      <c r="E109" s="575" t="str">
        <f>E88</f>
        <v>Demanda de Servicios Propios por Recibo del Operador</v>
      </c>
      <c r="F109" s="688"/>
      <c r="G109" s="812"/>
      <c r="H109" s="797"/>
    </row>
    <row r="110" spans="2:8" s="125" customFormat="1" outlineLevel="1">
      <c r="B110" s="838"/>
      <c r="C110" s="284"/>
      <c r="D110" s="284"/>
      <c r="E110" s="583" t="s">
        <v>313</v>
      </c>
      <c r="F110" s="744">
        <v>24080000</v>
      </c>
      <c r="G110" s="812"/>
      <c r="H110" s="797"/>
    </row>
    <row r="111" spans="2:8" s="125" customFormat="1" outlineLevel="1">
      <c r="B111" s="838"/>
      <c r="C111" s="544"/>
      <c r="D111" s="545"/>
      <c r="E111" s="578" t="str">
        <f>E94</f>
        <v>Número de Servicios por Recibo</v>
      </c>
      <c r="F111" s="688"/>
      <c r="G111" s="812"/>
      <c r="H111" s="797"/>
    </row>
    <row r="112" spans="2:8" s="125" customFormat="1" outlineLevel="1">
      <c r="B112" s="838"/>
      <c r="C112" s="284"/>
      <c r="D112" s="284"/>
      <c r="E112" s="579">
        <v>1</v>
      </c>
      <c r="F112" s="665">
        <v>0</v>
      </c>
      <c r="G112" s="812"/>
      <c r="H112" s="797"/>
    </row>
    <row r="113" spans="2:17" s="125" customFormat="1" outlineLevel="1">
      <c r="B113" s="838"/>
      <c r="C113" s="284"/>
      <c r="D113" s="284"/>
      <c r="E113" s="579">
        <v>2</v>
      </c>
      <c r="F113" s="665">
        <v>0</v>
      </c>
      <c r="G113" s="812"/>
      <c r="H113" s="797"/>
    </row>
    <row r="114" spans="2:17" s="125" customFormat="1" outlineLevel="1">
      <c r="B114" s="838"/>
      <c r="C114" s="284"/>
      <c r="D114" s="284"/>
      <c r="E114" s="579">
        <v>3</v>
      </c>
      <c r="F114" s="665">
        <f>F110</f>
        <v>24080000</v>
      </c>
      <c r="G114" s="812"/>
      <c r="H114" s="797"/>
    </row>
    <row r="115" spans="2:17" s="125" customFormat="1" outlineLevel="1">
      <c r="B115" s="838"/>
      <c r="C115" s="547"/>
      <c r="D115" s="548"/>
      <c r="E115" s="577" t="s">
        <v>266</v>
      </c>
      <c r="F115" s="689"/>
      <c r="G115" s="812"/>
      <c r="H115" s="797"/>
    </row>
    <row r="116" spans="2:17" s="125" customFormat="1" outlineLevel="1">
      <c r="B116" s="838"/>
      <c r="C116" s="618"/>
      <c r="D116" s="284"/>
      <c r="E116" s="583" t="s">
        <v>264</v>
      </c>
      <c r="F116" s="744">
        <v>0</v>
      </c>
      <c r="G116" s="812"/>
      <c r="H116" s="797"/>
    </row>
    <row r="117" spans="2:17" s="125" customFormat="1" outlineLevel="1">
      <c r="B117" s="838"/>
      <c r="C117" s="619"/>
      <c r="D117" s="620"/>
      <c r="E117" s="621" t="s">
        <v>102</v>
      </c>
      <c r="F117" s="747">
        <v>1920000</v>
      </c>
      <c r="G117" s="812"/>
      <c r="H117" s="797"/>
    </row>
    <row r="118" spans="2:17" s="125" customFormat="1" ht="18.75" customHeight="1">
      <c r="B118" s="838"/>
      <c r="C118" s="544"/>
      <c r="D118" s="545"/>
      <c r="E118" s="573" t="str">
        <f>E101</f>
        <v>Total Recibos Propios Emitidos</v>
      </c>
      <c r="F118" s="472">
        <f>F110+F117</f>
        <v>26000000</v>
      </c>
      <c r="G118" s="812"/>
      <c r="H118" s="797"/>
    </row>
    <row r="119" spans="2:17" s="125" customFormat="1">
      <c r="B119" s="838"/>
      <c r="C119" s="544"/>
      <c r="D119" s="545"/>
      <c r="E119" s="573" t="str">
        <f t="shared" ref="E119:E123" si="6">E102</f>
        <v>Total Recibos FyR Emitidos</v>
      </c>
      <c r="F119" s="472">
        <f>F117</f>
        <v>1920000</v>
      </c>
      <c r="G119" s="812"/>
      <c r="H119" s="797"/>
    </row>
    <row r="120" spans="2:17" s="125" customFormat="1">
      <c r="B120" s="838"/>
      <c r="C120" s="546"/>
      <c r="D120" s="545"/>
      <c r="E120" s="578" t="str">
        <f t="shared" si="6"/>
        <v>Promedio de Servicios Propios por Recibo</v>
      </c>
      <c r="F120" s="690">
        <f>IFERROR(SUMPRODUCT($E112:$E114,F112:F114)/SUM(F112:F114),0)</f>
        <v>3</v>
      </c>
      <c r="G120" s="812"/>
      <c r="H120" s="797"/>
    </row>
    <row r="121" spans="2:17" s="125" customFormat="1">
      <c r="B121" s="838"/>
      <c r="C121" s="547"/>
      <c r="D121" s="548"/>
      <c r="E121" s="580" t="str">
        <f t="shared" si="6"/>
        <v>Promedio de Servicios en Competencia</v>
      </c>
      <c r="F121" s="473">
        <v>1</v>
      </c>
      <c r="G121" s="812"/>
      <c r="H121" s="797"/>
    </row>
    <row r="122" spans="2:17" s="125" customFormat="1">
      <c r="B122" s="838"/>
      <c r="C122" s="284"/>
      <c r="D122" s="284"/>
      <c r="E122" s="568" t="str">
        <f t="shared" si="6"/>
        <v>Operadores en Competencia</v>
      </c>
      <c r="F122" s="474">
        <v>2</v>
      </c>
      <c r="G122" s="812"/>
      <c r="H122" s="797"/>
    </row>
    <row r="123" spans="2:17" s="125" customFormat="1" ht="19.5" thickBot="1">
      <c r="B123" s="839"/>
      <c r="C123" s="285"/>
      <c r="D123" s="285"/>
      <c r="E123" s="569" t="str">
        <f t="shared" si="6"/>
        <v>Proporcion Demanda Recibos FyR</v>
      </c>
      <c r="F123" s="475">
        <f>IFERROR(F117/F118,0)</f>
        <v>7.3846153846153853E-2</v>
      </c>
      <c r="G123" s="812"/>
      <c r="H123" s="797"/>
    </row>
    <row r="124" spans="2:17" s="125" customFormat="1">
      <c r="E124" s="581"/>
      <c r="F124" s="672"/>
      <c r="G124" s="812"/>
      <c r="H124" s="797"/>
    </row>
    <row r="125" spans="2:17">
      <c r="C125" s="215"/>
      <c r="D125" s="215"/>
      <c r="E125" s="591"/>
      <c r="F125" s="215"/>
      <c r="G125" s="812"/>
      <c r="H125" s="797"/>
    </row>
    <row r="126" spans="2:17" ht="26.25">
      <c r="C126" s="214" t="s">
        <v>331</v>
      </c>
      <c r="D126" s="82"/>
      <c r="E126" s="571"/>
      <c r="F126" s="680"/>
      <c r="G126" s="812"/>
      <c r="H126" s="797"/>
    </row>
    <row r="127" spans="2:17" ht="19.5" thickBot="1">
      <c r="C127" s="215"/>
      <c r="D127" s="215"/>
      <c r="E127" s="591"/>
      <c r="F127" s="215"/>
      <c r="G127" s="812"/>
      <c r="H127" s="797"/>
    </row>
    <row r="128" spans="2:17" s="10" customFormat="1" ht="27" thickBot="1">
      <c r="B128" s="410"/>
      <c r="C128" s="398"/>
      <c r="D128" s="399" t="s">
        <v>241</v>
      </c>
      <c r="E128" s="566"/>
      <c r="F128" s="400"/>
      <c r="G128" s="812"/>
      <c r="H128" s="797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s="10" customFormat="1" ht="15" customHeight="1" outlineLevel="1">
      <c r="B129" s="837" t="s">
        <v>241</v>
      </c>
      <c r="C129" s="402"/>
      <c r="D129" s="402"/>
      <c r="E129" s="592" t="s">
        <v>267</v>
      </c>
      <c r="F129" s="691" t="str">
        <f>F1</f>
        <v>Operador X</v>
      </c>
      <c r="G129" s="812"/>
      <c r="H129" s="797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s="246" customFormat="1" outlineLevel="1">
      <c r="B130" s="838"/>
      <c r="C130" s="274"/>
      <c r="D130" s="536"/>
      <c r="E130" s="576">
        <v>1</v>
      </c>
      <c r="F130" s="748">
        <v>6000000</v>
      </c>
      <c r="G130" s="812"/>
      <c r="H130" s="797"/>
      <c r="I130" s="254"/>
      <c r="J130" s="254"/>
      <c r="K130" s="254"/>
      <c r="L130" s="254"/>
      <c r="M130" s="254"/>
      <c r="N130" s="254"/>
      <c r="O130" s="254"/>
      <c r="P130" s="254"/>
      <c r="Q130" s="254"/>
    </row>
    <row r="131" spans="2:17" s="246" customFormat="1" outlineLevel="1">
      <c r="B131" s="838"/>
      <c r="C131" s="274"/>
      <c r="D131" s="536"/>
      <c r="E131" s="576">
        <v>2</v>
      </c>
      <c r="F131" s="748">
        <v>5000000</v>
      </c>
      <c r="G131" s="812"/>
      <c r="H131" s="797"/>
      <c r="I131" s="254"/>
      <c r="J131" s="254"/>
      <c r="K131" s="254"/>
      <c r="L131" s="254"/>
      <c r="M131" s="254"/>
      <c r="N131" s="254"/>
      <c r="O131" s="254"/>
      <c r="P131" s="254"/>
      <c r="Q131" s="254"/>
    </row>
    <row r="132" spans="2:17" s="246" customFormat="1" outlineLevel="1">
      <c r="B132" s="838"/>
      <c r="C132" s="274"/>
      <c r="D132" s="536"/>
      <c r="E132" s="576">
        <v>3</v>
      </c>
      <c r="F132" s="748">
        <v>30000</v>
      </c>
      <c r="G132" s="812"/>
      <c r="H132" s="797"/>
      <c r="I132" s="254"/>
      <c r="J132" s="254"/>
      <c r="K132" s="254"/>
      <c r="L132" s="254"/>
      <c r="M132" s="254"/>
      <c r="N132" s="254"/>
      <c r="O132" s="254"/>
      <c r="P132" s="254"/>
      <c r="Q132" s="254"/>
    </row>
    <row r="133" spans="2:17" s="246" customFormat="1" outlineLevel="1">
      <c r="B133" s="838"/>
      <c r="C133" s="274"/>
      <c r="D133" s="536"/>
      <c r="E133" s="576">
        <v>4</v>
      </c>
      <c r="F133" s="748">
        <v>800000</v>
      </c>
      <c r="G133" s="812"/>
      <c r="H133" s="797"/>
      <c r="I133" s="254"/>
      <c r="J133" s="254"/>
      <c r="K133" s="254"/>
      <c r="L133" s="254"/>
      <c r="M133" s="254"/>
      <c r="N133" s="254"/>
      <c r="O133" s="254"/>
      <c r="P133" s="254"/>
      <c r="Q133" s="254"/>
    </row>
    <row r="134" spans="2:17" s="246" customFormat="1" outlineLevel="1">
      <c r="B134" s="838"/>
      <c r="C134" s="274"/>
      <c r="D134" s="536"/>
      <c r="E134" s="576">
        <v>5</v>
      </c>
      <c r="F134" s="748">
        <v>190000</v>
      </c>
      <c r="G134" s="812"/>
      <c r="H134" s="797"/>
      <c r="I134" s="254"/>
      <c r="J134" s="254"/>
      <c r="K134" s="254"/>
      <c r="L134" s="254"/>
      <c r="M134" s="254"/>
      <c r="N134" s="254"/>
      <c r="O134" s="254"/>
      <c r="P134" s="254"/>
      <c r="Q134" s="254"/>
    </row>
    <row r="135" spans="2:17" s="246" customFormat="1" outlineLevel="1">
      <c r="B135" s="838"/>
      <c r="C135" s="274"/>
      <c r="D135" s="536"/>
      <c r="E135" s="576">
        <v>6</v>
      </c>
      <c r="F135" s="748"/>
      <c r="G135" s="812"/>
      <c r="H135" s="797"/>
      <c r="I135" s="254"/>
      <c r="J135" s="254"/>
      <c r="K135" s="254"/>
      <c r="L135" s="254"/>
      <c r="M135" s="254"/>
      <c r="N135" s="254"/>
      <c r="O135" s="254"/>
      <c r="P135" s="254"/>
      <c r="Q135" s="254"/>
    </row>
    <row r="136" spans="2:17" s="246" customFormat="1" outlineLevel="1">
      <c r="B136" s="838"/>
      <c r="C136" s="274"/>
      <c r="D136" s="536"/>
      <c r="E136" s="576">
        <v>7</v>
      </c>
      <c r="F136" s="748"/>
      <c r="G136" s="812"/>
      <c r="H136" s="797"/>
      <c r="I136" s="254"/>
      <c r="J136" s="254"/>
      <c r="K136" s="254"/>
      <c r="L136" s="254"/>
      <c r="M136" s="254"/>
      <c r="N136" s="254"/>
      <c r="O136" s="254"/>
      <c r="P136" s="254"/>
      <c r="Q136" s="254"/>
    </row>
    <row r="137" spans="2:17" s="246" customFormat="1" outlineLevel="1">
      <c r="B137" s="838"/>
      <c r="C137" s="537"/>
      <c r="D137" s="294"/>
      <c r="E137" s="568" t="s">
        <v>290</v>
      </c>
      <c r="F137" s="465">
        <f t="shared" ref="F137" si="7">SUM(F130:F136)</f>
        <v>12020000</v>
      </c>
      <c r="G137" s="812"/>
      <c r="H137" s="797"/>
      <c r="I137" s="254"/>
      <c r="J137" s="254"/>
      <c r="K137" s="254"/>
      <c r="L137" s="254"/>
      <c r="M137" s="254"/>
      <c r="N137" s="254"/>
      <c r="O137" s="254"/>
      <c r="P137" s="254"/>
      <c r="Q137" s="254"/>
    </row>
    <row r="138" spans="2:17" s="246" customFormat="1" outlineLevel="1">
      <c r="B138" s="838"/>
      <c r="C138" s="274"/>
      <c r="D138" s="274"/>
      <c r="E138" s="568" t="s">
        <v>261</v>
      </c>
      <c r="F138" s="466">
        <f t="shared" ref="F138" si="8">IFERROR(SUMPRODUCT($E130:$E136,F130:F136)/SUM(F130:F136),0)</f>
        <v>1.6838602329450916</v>
      </c>
      <c r="G138" s="812"/>
      <c r="H138" s="797"/>
      <c r="I138" s="254"/>
      <c r="J138" s="254"/>
      <c r="K138" s="254"/>
      <c r="L138" s="254"/>
      <c r="M138" s="254"/>
      <c r="N138" s="254"/>
      <c r="O138" s="254"/>
      <c r="P138" s="254"/>
      <c r="Q138" s="254"/>
    </row>
    <row r="139" spans="2:17" s="10" customFormat="1" outlineLevel="1">
      <c r="B139" s="838"/>
      <c r="C139" s="402"/>
      <c r="D139" s="402"/>
      <c r="E139" s="592" t="s">
        <v>268</v>
      </c>
      <c r="F139" s="691" t="str">
        <f>F1</f>
        <v>Operador X</v>
      </c>
      <c r="G139" s="812"/>
      <c r="H139" s="797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s="10" customFormat="1" outlineLevel="1">
      <c r="B140" s="838"/>
      <c r="C140" s="271"/>
      <c r="D140" s="271"/>
      <c r="E140" s="593">
        <v>1</v>
      </c>
      <c r="F140" s="810">
        <v>7000000</v>
      </c>
      <c r="G140" s="812"/>
      <c r="H140" s="797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s="10" customFormat="1" outlineLevel="1">
      <c r="B141" s="838"/>
      <c r="C141" s="271"/>
      <c r="D141" s="271"/>
      <c r="E141" s="593">
        <v>2</v>
      </c>
      <c r="F141" s="810">
        <v>5000000</v>
      </c>
      <c r="G141" s="812"/>
      <c r="H141" s="797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s="10" customFormat="1" outlineLevel="1">
      <c r="B142" s="838"/>
      <c r="C142" s="271"/>
      <c r="D142" s="271"/>
      <c r="E142" s="593">
        <v>3</v>
      </c>
      <c r="F142" s="810">
        <v>20000</v>
      </c>
      <c r="G142" s="812"/>
      <c r="H142" s="797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s="10" customFormat="1" outlineLevel="1">
      <c r="B143" s="838"/>
      <c r="C143" s="271"/>
      <c r="D143" s="271"/>
      <c r="E143" s="593">
        <v>4</v>
      </c>
      <c r="F143" s="810"/>
      <c r="G143" s="812"/>
      <c r="H143" s="797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s="10" customFormat="1" outlineLevel="1">
      <c r="B144" s="838"/>
      <c r="C144" s="271"/>
      <c r="D144" s="271"/>
      <c r="E144" s="593">
        <v>5</v>
      </c>
      <c r="F144" s="810"/>
      <c r="G144" s="812"/>
      <c r="H144" s="797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s="10" customFormat="1" outlineLevel="1">
      <c r="B145" s="838"/>
      <c r="C145" s="271"/>
      <c r="D145" s="271"/>
      <c r="E145" s="593">
        <v>6</v>
      </c>
      <c r="F145" s="810"/>
      <c r="G145" s="812"/>
      <c r="H145" s="797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s="10" customFormat="1" outlineLevel="1">
      <c r="B146" s="838"/>
      <c r="C146" s="271"/>
      <c r="D146" s="271"/>
      <c r="E146" s="593">
        <v>7</v>
      </c>
      <c r="F146" s="749"/>
      <c r="G146" s="812"/>
      <c r="H146" s="797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s="10" customFormat="1" ht="19.5" outlineLevel="1" thickBot="1">
      <c r="B147" s="839"/>
      <c r="C147" s="279"/>
      <c r="D147" s="279"/>
      <c r="E147" s="569" t="s">
        <v>262</v>
      </c>
      <c r="F147" s="692">
        <f t="shared" ref="F147" si="9">IFERROR(SUMPRODUCT($E140:$E146,F140:F146)/SUM(F140:F146),0)</f>
        <v>1.4193011647254576</v>
      </c>
      <c r="G147" s="812"/>
      <c r="H147" s="797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s="10" customFormat="1" ht="27" thickBot="1">
      <c r="B148" s="410"/>
      <c r="C148" s="398"/>
      <c r="D148" s="399" t="s">
        <v>269</v>
      </c>
      <c r="E148" s="566"/>
      <c r="F148" s="400"/>
      <c r="G148" s="812"/>
      <c r="H148" s="797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s="10" customFormat="1" ht="15" customHeight="1" outlineLevel="1">
      <c r="B149" s="837" t="s">
        <v>317</v>
      </c>
      <c r="C149" s="402"/>
      <c r="D149" s="402"/>
      <c r="E149" s="592" t="s">
        <v>267</v>
      </c>
      <c r="F149" s="691" t="str">
        <f>F1</f>
        <v>Operador X</v>
      </c>
      <c r="G149" s="812"/>
      <c r="H149" s="797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s="10" customFormat="1" outlineLevel="1">
      <c r="B150" s="838"/>
      <c r="C150" s="274"/>
      <c r="D150" s="536"/>
      <c r="E150" s="576">
        <v>1</v>
      </c>
      <c r="F150" s="748">
        <v>8000000</v>
      </c>
      <c r="G150" s="812"/>
      <c r="H150" s="797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s="10" customFormat="1" outlineLevel="1">
      <c r="B151" s="838"/>
      <c r="C151" s="274"/>
      <c r="D151" s="536"/>
      <c r="E151" s="576">
        <v>2</v>
      </c>
      <c r="F151" s="748">
        <v>0</v>
      </c>
      <c r="G151" s="812"/>
      <c r="H151" s="797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s="10" customFormat="1" outlineLevel="1">
      <c r="B152" s="838"/>
      <c r="C152" s="274"/>
      <c r="D152" s="536"/>
      <c r="E152" s="576">
        <v>3</v>
      </c>
      <c r="F152" s="748">
        <v>6000000</v>
      </c>
      <c r="G152" s="812"/>
      <c r="H152" s="797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s="10" customFormat="1" outlineLevel="1">
      <c r="B153" s="838"/>
      <c r="C153" s="274"/>
      <c r="D153" s="536"/>
      <c r="E153" s="576">
        <v>4</v>
      </c>
      <c r="F153" s="748">
        <v>0</v>
      </c>
      <c r="G153" s="812"/>
      <c r="H153" s="797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s="10" customFormat="1" outlineLevel="1">
      <c r="B154" s="838"/>
      <c r="C154" s="274"/>
      <c r="D154" s="536"/>
      <c r="E154" s="576">
        <v>5</v>
      </c>
      <c r="F154" s="748">
        <v>200000</v>
      </c>
      <c r="G154" s="812"/>
      <c r="H154" s="797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s="10" customFormat="1" outlineLevel="1">
      <c r="B155" s="838"/>
      <c r="C155" s="274"/>
      <c r="D155" s="536"/>
      <c r="E155" s="576">
        <v>6</v>
      </c>
      <c r="F155" s="748">
        <v>0</v>
      </c>
      <c r="G155" s="812"/>
      <c r="H155" s="797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s="10" customFormat="1" outlineLevel="1">
      <c r="B156" s="838"/>
      <c r="C156" s="274"/>
      <c r="D156" s="536"/>
      <c r="E156" s="576">
        <v>7</v>
      </c>
      <c r="F156" s="748">
        <v>0</v>
      </c>
      <c r="G156" s="812"/>
      <c r="H156" s="797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s="10" customFormat="1" outlineLevel="1">
      <c r="B157" s="838"/>
      <c r="C157" s="537"/>
      <c r="D157" s="294"/>
      <c r="E157" s="568" t="s">
        <v>290</v>
      </c>
      <c r="F157" s="465">
        <f t="shared" ref="F157" si="10">SUM(F150:F156)</f>
        <v>14200000</v>
      </c>
      <c r="G157" s="812"/>
      <c r="H157" s="797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s="10" customFormat="1" outlineLevel="1">
      <c r="B158" s="838"/>
      <c r="C158" s="274"/>
      <c r="D158" s="274"/>
      <c r="E158" s="568" t="s">
        <v>261</v>
      </c>
      <c r="F158" s="466">
        <f t="shared" ref="F158" si="11">IFERROR(SUMPRODUCT($E150:$E156,F150:F156)/SUM(F150:F156),0)</f>
        <v>1.9014084507042253</v>
      </c>
      <c r="G158" s="812"/>
      <c r="H158" s="797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s="10" customFormat="1" outlineLevel="1">
      <c r="B159" s="838"/>
      <c r="C159" s="402"/>
      <c r="D159" s="402"/>
      <c r="E159" s="592" t="s">
        <v>268</v>
      </c>
      <c r="F159" s="691" t="str">
        <f>F1</f>
        <v>Operador X</v>
      </c>
      <c r="G159" s="812"/>
      <c r="H159" s="797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s="10" customFormat="1" outlineLevel="1">
      <c r="B160" s="838"/>
      <c r="C160" s="271"/>
      <c r="D160" s="271"/>
      <c r="E160" s="593">
        <v>1</v>
      </c>
      <c r="F160" s="748">
        <v>6000000</v>
      </c>
      <c r="G160" s="812"/>
      <c r="H160" s="797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s="10" customFormat="1" outlineLevel="1">
      <c r="B161" s="838"/>
      <c r="C161" s="271"/>
      <c r="D161" s="271"/>
      <c r="E161" s="593">
        <v>2</v>
      </c>
      <c r="F161" s="748">
        <v>2000000</v>
      </c>
      <c r="G161" s="812"/>
      <c r="H161" s="797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s="10" customFormat="1" outlineLevel="1">
      <c r="B162" s="838"/>
      <c r="C162" s="271"/>
      <c r="D162" s="271"/>
      <c r="E162" s="593">
        <v>3</v>
      </c>
      <c r="F162" s="748">
        <v>3000000</v>
      </c>
      <c r="G162" s="812"/>
      <c r="H162" s="797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s="10" customFormat="1" outlineLevel="1">
      <c r="B163" s="838"/>
      <c r="C163" s="271"/>
      <c r="D163" s="271"/>
      <c r="E163" s="593">
        <v>4</v>
      </c>
      <c r="F163" s="748">
        <v>2000000</v>
      </c>
      <c r="G163" s="812"/>
      <c r="H163" s="797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s="10" customFormat="1" outlineLevel="1">
      <c r="B164" s="838"/>
      <c r="C164" s="271"/>
      <c r="D164" s="271"/>
      <c r="E164" s="593">
        <v>5</v>
      </c>
      <c r="F164" s="748">
        <v>1200000</v>
      </c>
      <c r="G164" s="812"/>
      <c r="H164" s="797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s="10" customFormat="1" outlineLevel="1">
      <c r="B165" s="838"/>
      <c r="C165" s="271"/>
      <c r="D165" s="271"/>
      <c r="E165" s="593">
        <v>6</v>
      </c>
      <c r="F165" s="748">
        <v>0</v>
      </c>
      <c r="G165" s="812"/>
      <c r="H165" s="797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s="10" customFormat="1" outlineLevel="1">
      <c r="B166" s="838"/>
      <c r="C166" s="271"/>
      <c r="D166" s="271"/>
      <c r="E166" s="593">
        <v>7</v>
      </c>
      <c r="F166" s="748">
        <v>0</v>
      </c>
      <c r="G166" s="812"/>
      <c r="H166" s="797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s="10" customFormat="1" ht="19.5" outlineLevel="1" thickBot="1">
      <c r="B167" s="839"/>
      <c r="C167" s="279"/>
      <c r="D167" s="279"/>
      <c r="E167" s="569" t="s">
        <v>263</v>
      </c>
      <c r="F167" s="692">
        <f t="shared" ref="F167" si="12">IFERROR(SUMPRODUCT($E160:$E166,F160:F166)/SUM(F160:F166),0)</f>
        <v>2.323943661971831</v>
      </c>
      <c r="G167" s="812"/>
      <c r="H167" s="797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ht="27" thickBot="1">
      <c r="B168" s="245"/>
      <c r="C168" s="241"/>
      <c r="D168" s="242" t="s">
        <v>270</v>
      </c>
      <c r="E168" s="566"/>
      <c r="F168" s="399"/>
      <c r="G168" s="812"/>
      <c r="H168" s="797"/>
    </row>
    <row r="169" spans="2:17" ht="20.100000000000001" customHeight="1" thickBot="1">
      <c r="B169" s="846" t="s">
        <v>270</v>
      </c>
      <c r="C169" s="464"/>
      <c r="D169" s="464"/>
      <c r="E169" s="562" t="s">
        <v>267</v>
      </c>
      <c r="F169" s="693" t="str">
        <f>F1</f>
        <v>Operador X</v>
      </c>
      <c r="G169" s="812"/>
      <c r="H169" s="797"/>
    </row>
    <row r="170" spans="2:17">
      <c r="B170" s="832"/>
      <c r="C170" s="292"/>
      <c r="D170" s="280"/>
      <c r="E170" s="593">
        <v>1</v>
      </c>
      <c r="F170" s="665">
        <f t="shared" ref="F170:F176" si="13">F130+F150</f>
        <v>14000000</v>
      </c>
      <c r="G170" s="812"/>
      <c r="H170" s="797"/>
    </row>
    <row r="171" spans="2:17">
      <c r="B171" s="832"/>
      <c r="C171" s="292"/>
      <c r="D171" s="280"/>
      <c r="E171" s="593">
        <v>2</v>
      </c>
      <c r="F171" s="665">
        <f t="shared" si="13"/>
        <v>5000000</v>
      </c>
      <c r="G171" s="812"/>
      <c r="H171" s="797"/>
    </row>
    <row r="172" spans="2:17">
      <c r="B172" s="832"/>
      <c r="C172" s="292"/>
      <c r="D172" s="280"/>
      <c r="E172" s="593">
        <v>3</v>
      </c>
      <c r="F172" s="665">
        <f t="shared" si="13"/>
        <v>6030000</v>
      </c>
      <c r="G172" s="812"/>
      <c r="H172" s="797"/>
    </row>
    <row r="173" spans="2:17">
      <c r="B173" s="832"/>
      <c r="C173" s="292"/>
      <c r="D173" s="280"/>
      <c r="E173" s="593">
        <v>4</v>
      </c>
      <c r="F173" s="665">
        <f t="shared" si="13"/>
        <v>800000</v>
      </c>
      <c r="G173" s="812"/>
      <c r="H173" s="797"/>
    </row>
    <row r="174" spans="2:17">
      <c r="B174" s="832"/>
      <c r="C174" s="292"/>
      <c r="D174" s="280"/>
      <c r="E174" s="593">
        <v>5</v>
      </c>
      <c r="F174" s="665">
        <f t="shared" si="13"/>
        <v>390000</v>
      </c>
      <c r="G174" s="812"/>
      <c r="H174" s="797"/>
    </row>
    <row r="175" spans="2:17">
      <c r="B175" s="832"/>
      <c r="C175" s="292"/>
      <c r="D175" s="280"/>
      <c r="E175" s="593">
        <v>6</v>
      </c>
      <c r="F175" s="665">
        <f t="shared" si="13"/>
        <v>0</v>
      </c>
      <c r="G175" s="812"/>
      <c r="H175" s="797"/>
    </row>
    <row r="176" spans="2:17" ht="19.5" thickBot="1">
      <c r="B176" s="832"/>
      <c r="C176" s="292"/>
      <c r="D176" s="295" t="s">
        <v>115</v>
      </c>
      <c r="E176" s="593">
        <v>7</v>
      </c>
      <c r="F176" s="665">
        <f t="shared" si="13"/>
        <v>0</v>
      </c>
      <c r="G176" s="812"/>
      <c r="H176" s="797"/>
    </row>
    <row r="177" spans="2:8" ht="19.5" thickBot="1">
      <c r="B177" s="832"/>
      <c r="C177" s="408"/>
      <c r="D177" s="408"/>
      <c r="E177" s="565" t="s">
        <v>268</v>
      </c>
      <c r="F177" s="674" t="str">
        <f>F1</f>
        <v>Operador X</v>
      </c>
      <c r="G177" s="812"/>
      <c r="H177" s="797"/>
    </row>
    <row r="178" spans="2:8">
      <c r="B178" s="832"/>
      <c r="C178" s="292"/>
      <c r="D178" s="280"/>
      <c r="E178" s="594">
        <v>1</v>
      </c>
      <c r="F178" s="665">
        <f t="shared" ref="F178:F184" si="14">F140+F160</f>
        <v>13000000</v>
      </c>
      <c r="G178" s="812"/>
      <c r="H178" s="797"/>
    </row>
    <row r="179" spans="2:8">
      <c r="B179" s="832"/>
      <c r="C179" s="293"/>
      <c r="D179" s="280"/>
      <c r="E179" s="594">
        <v>2</v>
      </c>
      <c r="F179" s="665">
        <f t="shared" si="14"/>
        <v>7000000</v>
      </c>
      <c r="G179" s="812"/>
      <c r="H179" s="797"/>
    </row>
    <row r="180" spans="2:8">
      <c r="B180" s="832"/>
      <c r="C180" s="293"/>
      <c r="D180" s="280"/>
      <c r="E180" s="594">
        <v>3</v>
      </c>
      <c r="F180" s="665">
        <f t="shared" si="14"/>
        <v>3020000</v>
      </c>
      <c r="G180" s="812"/>
      <c r="H180" s="797"/>
    </row>
    <row r="181" spans="2:8">
      <c r="B181" s="832"/>
      <c r="C181" s="292"/>
      <c r="D181" s="280"/>
      <c r="E181" s="594">
        <v>4</v>
      </c>
      <c r="F181" s="665">
        <f t="shared" si="14"/>
        <v>2000000</v>
      </c>
      <c r="G181" s="812"/>
      <c r="H181" s="797"/>
    </row>
    <row r="182" spans="2:8">
      <c r="B182" s="832"/>
      <c r="C182" s="292"/>
      <c r="D182" s="280"/>
      <c r="E182" s="594">
        <v>5</v>
      </c>
      <c r="F182" s="665">
        <f t="shared" si="14"/>
        <v>1200000</v>
      </c>
      <c r="G182" s="812"/>
      <c r="H182" s="797"/>
    </row>
    <row r="183" spans="2:8">
      <c r="B183" s="832"/>
      <c r="C183" s="292"/>
      <c r="D183" s="280"/>
      <c r="E183" s="594">
        <v>6</v>
      </c>
      <c r="F183" s="665">
        <f t="shared" si="14"/>
        <v>0</v>
      </c>
      <c r="G183" s="812"/>
      <c r="H183" s="797"/>
    </row>
    <row r="184" spans="2:8" ht="19.5" thickBot="1">
      <c r="B184" s="832"/>
      <c r="C184" s="292"/>
      <c r="D184" s="280"/>
      <c r="E184" s="594">
        <v>7</v>
      </c>
      <c r="F184" s="665">
        <f t="shared" si="14"/>
        <v>0</v>
      </c>
      <c r="G184" s="812"/>
      <c r="H184" s="797"/>
    </row>
    <row r="185" spans="2:8">
      <c r="B185" s="832"/>
      <c r="C185" s="625"/>
      <c r="D185" s="626"/>
      <c r="E185" s="627" t="s">
        <v>299</v>
      </c>
      <c r="F185" s="694">
        <f>IFERROR(SUMPRODUCT($E170:$E176,F170:F176)/SUM(F170:F176),0)</f>
        <v>1.8016781083142639</v>
      </c>
      <c r="G185" s="812"/>
      <c r="H185" s="797"/>
    </row>
    <row r="186" spans="2:8">
      <c r="B186" s="832"/>
      <c r="C186" s="628"/>
      <c r="D186" s="623"/>
      <c r="E186" s="624" t="s">
        <v>263</v>
      </c>
      <c r="F186" s="695">
        <f t="shared" ref="F186" si="15">IFERROR(SUMPRODUCT($E178:$E184,F178:F184)/SUM(F178:F184),0)</f>
        <v>1.9092295957284515</v>
      </c>
      <c r="G186" s="812"/>
      <c r="H186" s="797"/>
    </row>
    <row r="187" spans="2:8">
      <c r="B187" s="832"/>
      <c r="C187" s="629"/>
      <c r="D187" s="272"/>
      <c r="E187" s="568" t="s">
        <v>271</v>
      </c>
      <c r="F187" s="696">
        <f>SUM(F130:F136)/SUM(F170:F176)</f>
        <v>0.45842868039664381</v>
      </c>
      <c r="G187" s="812"/>
      <c r="H187" s="797"/>
    </row>
    <row r="188" spans="2:8">
      <c r="B188" s="832"/>
      <c r="C188" s="629"/>
      <c r="D188" s="272"/>
      <c r="E188" s="568" t="s">
        <v>272</v>
      </c>
      <c r="F188" s="696">
        <f>SUM(F150:F156)/SUM(F170:F176)</f>
        <v>0.54157131960335625</v>
      </c>
      <c r="G188" s="812"/>
      <c r="H188" s="797"/>
    </row>
    <row r="189" spans="2:8">
      <c r="B189" s="832"/>
      <c r="C189" s="629"/>
      <c r="D189" s="272"/>
      <c r="E189" s="568" t="s">
        <v>305</v>
      </c>
      <c r="F189" s="697">
        <f>IFERROR(((F60*F138)+(F61*F158))/(F60+F61),0)</f>
        <v>1.8445112245210673</v>
      </c>
      <c r="G189" s="812"/>
      <c r="H189" s="797"/>
    </row>
    <row r="190" spans="2:8">
      <c r="B190" s="832"/>
      <c r="C190" s="629"/>
      <c r="D190" s="272"/>
      <c r="E190" s="568"/>
      <c r="F190" s="696"/>
      <c r="G190" s="812"/>
      <c r="H190" s="797"/>
    </row>
    <row r="191" spans="2:8">
      <c r="B191" s="832"/>
      <c r="C191" s="629"/>
      <c r="D191" s="272"/>
      <c r="E191" s="568" t="s">
        <v>284</v>
      </c>
      <c r="F191" s="698">
        <v>1</v>
      </c>
      <c r="G191" s="812"/>
      <c r="H191" s="797"/>
    </row>
    <row r="192" spans="2:8" ht="19.5" thickBot="1">
      <c r="B192" s="833"/>
      <c r="C192" s="630"/>
      <c r="D192" s="631"/>
      <c r="E192" s="632" t="s">
        <v>285</v>
      </c>
      <c r="F192" s="699">
        <f>F191/(2*F189)</f>
        <v>0.27107452280743177</v>
      </c>
      <c r="G192" s="812"/>
      <c r="H192" s="797"/>
    </row>
    <row r="193" spans="1:17">
      <c r="B193" s="243"/>
      <c r="C193" s="126"/>
      <c r="D193" s="244"/>
      <c r="E193" s="595"/>
      <c r="F193" s="700"/>
      <c r="G193" s="812"/>
      <c r="H193" s="797"/>
    </row>
    <row r="194" spans="1:17" ht="19.5" thickBot="1">
      <c r="D194" s="84"/>
      <c r="F194" s="701"/>
      <c r="G194" s="812"/>
      <c r="H194" s="797"/>
    </row>
    <row r="195" spans="1:17" ht="27" thickBot="1">
      <c r="B195" s="403"/>
      <c r="C195" s="397" t="s">
        <v>332</v>
      </c>
      <c r="D195" s="396"/>
      <c r="E195" s="566"/>
      <c r="F195" s="673"/>
      <c r="G195" s="812"/>
      <c r="H195" s="797"/>
    </row>
    <row r="196" spans="1:17" s="10" customFormat="1" ht="47.25" customHeight="1" thickBot="1">
      <c r="B196" s="847" t="s">
        <v>107</v>
      </c>
      <c r="C196" s="408" t="s">
        <v>333</v>
      </c>
      <c r="D196" s="408"/>
      <c r="E196" s="565" t="s">
        <v>267</v>
      </c>
      <c r="F196" s="674" t="str">
        <f>F1</f>
        <v>Operador X</v>
      </c>
      <c r="G196" s="812"/>
      <c r="H196" s="797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1:17" s="10" customFormat="1" ht="18.75" customHeight="1">
      <c r="B197" s="848"/>
      <c r="C197" s="271"/>
      <c r="D197" s="271"/>
      <c r="E197" s="593">
        <v>1</v>
      </c>
      <c r="F197" s="702">
        <f t="shared" ref="F197:F203" si="16">F170/SUM(F$170:F$176)</f>
        <v>0.53394355453852016</v>
      </c>
      <c r="G197" s="812"/>
      <c r="H197" s="797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1:17" s="10" customFormat="1" ht="18.75" customHeight="1">
      <c r="B198" s="848"/>
      <c r="C198" s="271"/>
      <c r="D198" s="271"/>
      <c r="E198" s="593">
        <v>2</v>
      </c>
      <c r="F198" s="702">
        <f t="shared" si="16"/>
        <v>0.19069412662090007</v>
      </c>
      <c r="G198" s="812"/>
      <c r="H198" s="797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1:17" s="10" customFormat="1" ht="18.75" customHeight="1">
      <c r="B199" s="848"/>
      <c r="C199" s="271"/>
      <c r="D199" s="271"/>
      <c r="E199" s="593">
        <v>3</v>
      </c>
      <c r="F199" s="702">
        <f t="shared" si="16"/>
        <v>0.2299771167048055</v>
      </c>
      <c r="G199" s="812"/>
      <c r="H199" s="797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1:17" s="10" customFormat="1" ht="18.75" customHeight="1">
      <c r="B200" s="848"/>
      <c r="C200" s="271"/>
      <c r="D200" s="271"/>
      <c r="E200" s="593">
        <v>4</v>
      </c>
      <c r="F200" s="702">
        <f t="shared" si="16"/>
        <v>3.0511060259344011E-2</v>
      </c>
      <c r="G200" s="812"/>
      <c r="H200" s="797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1:17" s="10" customFormat="1" ht="18.75" customHeight="1">
      <c r="B201" s="848"/>
      <c r="C201" s="271"/>
      <c r="D201" s="271"/>
      <c r="E201" s="593">
        <v>5</v>
      </c>
      <c r="F201" s="702">
        <f t="shared" si="16"/>
        <v>1.4874141876430207E-2</v>
      </c>
      <c r="G201" s="812"/>
      <c r="H201" s="797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1:17" s="10" customFormat="1" ht="18.75" customHeight="1">
      <c r="B202" s="848"/>
      <c r="C202" s="271"/>
      <c r="D202" s="271"/>
      <c r="E202" s="593">
        <v>6</v>
      </c>
      <c r="F202" s="702">
        <f t="shared" si="16"/>
        <v>0</v>
      </c>
      <c r="G202" s="812"/>
      <c r="H202" s="797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1:17" s="10" customFormat="1" ht="18.75" customHeight="1" thickBot="1">
      <c r="B203" s="849"/>
      <c r="C203" s="279"/>
      <c r="D203" s="288"/>
      <c r="E203" s="597">
        <v>7</v>
      </c>
      <c r="F203" s="703">
        <f t="shared" si="16"/>
        <v>0</v>
      </c>
      <c r="G203" s="812"/>
      <c r="H203" s="797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1:17">
      <c r="G204" s="812"/>
      <c r="H204" s="797"/>
    </row>
    <row r="205" spans="1:17" s="393" customFormat="1">
      <c r="A205" s="401"/>
      <c r="B205" s="401"/>
      <c r="C205" s="401"/>
      <c r="D205" s="401"/>
      <c r="E205" s="598"/>
      <c r="F205" s="704"/>
      <c r="G205" s="812"/>
      <c r="H205" s="797"/>
    </row>
    <row r="206" spans="1:17" s="236" customFormat="1" ht="19.5" thickBot="1">
      <c r="E206" s="599"/>
      <c r="F206" s="705"/>
      <c r="G206" s="812"/>
      <c r="H206" s="797"/>
    </row>
    <row r="207" spans="1:17" s="126" customFormat="1" ht="27" thickBot="1">
      <c r="B207" s="463"/>
      <c r="C207" s="404" t="s">
        <v>334</v>
      </c>
      <c r="D207" s="396"/>
      <c r="E207" s="566"/>
      <c r="F207" s="673"/>
      <c r="G207" s="812"/>
      <c r="H207" s="797"/>
    </row>
    <row r="208" spans="1:17" ht="15" customHeight="1" thickBot="1">
      <c r="B208" s="843" t="s">
        <v>337</v>
      </c>
      <c r="C208" s="330"/>
      <c r="D208" s="330"/>
      <c r="E208" s="600"/>
      <c r="F208" s="706"/>
      <c r="G208" s="812"/>
      <c r="H208" s="797"/>
    </row>
    <row r="209" spans="2:8" ht="38.25" customHeight="1" thickBot="1">
      <c r="B209" s="844"/>
      <c r="C209" s="408" t="s">
        <v>335</v>
      </c>
      <c r="D209" s="408"/>
      <c r="E209" s="565" t="s">
        <v>267</v>
      </c>
      <c r="F209" s="674" t="str">
        <f>F1</f>
        <v>Operador X</v>
      </c>
      <c r="G209" s="812"/>
      <c r="H209" s="797"/>
    </row>
    <row r="210" spans="2:8">
      <c r="B210" s="844"/>
      <c r="C210" s="280"/>
      <c r="D210" s="280"/>
      <c r="E210" s="593">
        <v>1</v>
      </c>
      <c r="F210" s="707">
        <f t="shared" ref="F210:F216" si="17">F197*(F$55-F$57)</f>
        <v>16186566.159644634</v>
      </c>
      <c r="G210" s="812"/>
      <c r="H210" s="797"/>
    </row>
    <row r="211" spans="2:8">
      <c r="B211" s="844"/>
      <c r="C211" s="280"/>
      <c r="D211" s="280"/>
      <c r="E211" s="593">
        <v>2</v>
      </c>
      <c r="F211" s="707">
        <f t="shared" si="17"/>
        <v>5780916.4855873697</v>
      </c>
      <c r="G211" s="812"/>
      <c r="H211" s="797"/>
    </row>
    <row r="212" spans="2:8">
      <c r="B212" s="844"/>
      <c r="C212" s="280"/>
      <c r="D212" s="280"/>
      <c r="E212" s="593">
        <v>3</v>
      </c>
      <c r="F212" s="707">
        <f t="shared" si="17"/>
        <v>6971785.2816183679</v>
      </c>
      <c r="G212" s="812"/>
      <c r="H212" s="797"/>
    </row>
    <row r="213" spans="2:8">
      <c r="B213" s="844"/>
      <c r="C213" s="280"/>
      <c r="D213" s="280"/>
      <c r="E213" s="593">
        <v>4</v>
      </c>
      <c r="F213" s="707">
        <f t="shared" si="17"/>
        <v>924946.63769397908</v>
      </c>
      <c r="G213" s="812"/>
      <c r="H213" s="797"/>
    </row>
    <row r="214" spans="2:8">
      <c r="B214" s="844"/>
      <c r="C214" s="280"/>
      <c r="D214" s="280"/>
      <c r="E214" s="593">
        <v>5</v>
      </c>
      <c r="F214" s="707">
        <f t="shared" si="17"/>
        <v>450911.4858758148</v>
      </c>
      <c r="G214" s="812"/>
      <c r="H214" s="797"/>
    </row>
    <row r="215" spans="2:8">
      <c r="B215" s="844"/>
      <c r="C215" s="280"/>
      <c r="D215" s="280"/>
      <c r="E215" s="593">
        <v>6</v>
      </c>
      <c r="F215" s="707">
        <f t="shared" si="17"/>
        <v>0</v>
      </c>
      <c r="G215" s="812"/>
      <c r="H215" s="797"/>
    </row>
    <row r="216" spans="2:8" ht="19.5" thickBot="1">
      <c r="B216" s="844"/>
      <c r="C216" s="280"/>
      <c r="D216" s="291"/>
      <c r="E216" s="593">
        <v>7</v>
      </c>
      <c r="F216" s="707">
        <f t="shared" si="17"/>
        <v>0</v>
      </c>
      <c r="G216" s="812"/>
      <c r="H216" s="797"/>
    </row>
    <row r="217" spans="2:8" ht="21.75" thickBot="1">
      <c r="B217" s="844"/>
      <c r="C217" s="289"/>
      <c r="D217" s="290"/>
      <c r="E217" s="601" t="s">
        <v>412</v>
      </c>
      <c r="F217" s="708">
        <f>SUM(F210:F216)</f>
        <v>30315126.050420165</v>
      </c>
      <c r="G217" s="812"/>
      <c r="H217" s="797"/>
    </row>
    <row r="218" spans="2:8" ht="43.5" customHeight="1" thickBot="1">
      <c r="B218" s="844"/>
      <c r="C218" s="408" t="s">
        <v>336</v>
      </c>
      <c r="D218" s="408"/>
      <c r="E218" s="565" t="s">
        <v>267</v>
      </c>
      <c r="F218" s="674" t="str">
        <f>F1</f>
        <v>Operador X</v>
      </c>
      <c r="G218" s="812"/>
      <c r="H218" s="797"/>
    </row>
    <row r="219" spans="2:8">
      <c r="B219" s="844"/>
      <c r="C219" s="280"/>
      <c r="D219" s="280"/>
      <c r="E219" s="593">
        <v>1</v>
      </c>
      <c r="F219" s="665">
        <f t="shared" ref="F219:F225" si="18">F197*F$58</f>
        <v>884140.1683839506</v>
      </c>
      <c r="G219" s="812"/>
      <c r="H219" s="797"/>
    </row>
    <row r="220" spans="2:8">
      <c r="B220" s="844"/>
      <c r="C220" s="280"/>
      <c r="D220" s="280"/>
      <c r="E220" s="593">
        <v>2</v>
      </c>
      <c r="F220" s="665">
        <f t="shared" si="18"/>
        <v>315764.345851411</v>
      </c>
      <c r="G220" s="812"/>
      <c r="H220" s="797"/>
    </row>
    <row r="221" spans="2:8">
      <c r="B221" s="844"/>
      <c r="C221" s="280"/>
      <c r="D221" s="280"/>
      <c r="E221" s="593">
        <v>3</v>
      </c>
      <c r="F221" s="665">
        <f t="shared" si="18"/>
        <v>380811.80109680165</v>
      </c>
      <c r="G221" s="812"/>
      <c r="H221" s="797"/>
    </row>
    <row r="222" spans="2:8">
      <c r="B222" s="844"/>
      <c r="C222" s="280"/>
      <c r="D222" s="280"/>
      <c r="E222" s="593">
        <v>4</v>
      </c>
      <c r="F222" s="665">
        <f t="shared" si="18"/>
        <v>50522.295336225754</v>
      </c>
      <c r="G222" s="812"/>
      <c r="H222" s="797"/>
    </row>
    <row r="223" spans="2:8">
      <c r="B223" s="844"/>
      <c r="C223" s="280"/>
      <c r="D223" s="280"/>
      <c r="E223" s="593">
        <v>5</v>
      </c>
      <c r="F223" s="665">
        <f t="shared" si="18"/>
        <v>24629.618976410056</v>
      </c>
      <c r="G223" s="812"/>
      <c r="H223" s="797"/>
    </row>
    <row r="224" spans="2:8">
      <c r="B224" s="844"/>
      <c r="C224" s="280"/>
      <c r="D224" s="280"/>
      <c r="E224" s="593">
        <v>6</v>
      </c>
      <c r="F224" s="665">
        <f t="shared" si="18"/>
        <v>0</v>
      </c>
      <c r="G224" s="812"/>
      <c r="H224" s="797"/>
    </row>
    <row r="225" spans="2:17" ht="19.5" thickBot="1">
      <c r="B225" s="844"/>
      <c r="C225" s="281"/>
      <c r="D225" s="288"/>
      <c r="E225" s="597">
        <v>7</v>
      </c>
      <c r="F225" s="709">
        <f t="shared" si="18"/>
        <v>0</v>
      </c>
      <c r="G225" s="812"/>
      <c r="H225" s="797"/>
    </row>
    <row r="226" spans="2:17" s="248" customFormat="1" ht="21.75" thickBot="1">
      <c r="B226" s="845"/>
      <c r="C226" s="289"/>
      <c r="D226" s="290"/>
      <c r="E226" s="601" t="s">
        <v>411</v>
      </c>
      <c r="F226" s="708">
        <f>SUM(F219:F225)</f>
        <v>1655868.2296447989</v>
      </c>
      <c r="G226" s="812"/>
      <c r="H226" s="797"/>
      <c r="I226" s="249"/>
      <c r="J226" s="249"/>
      <c r="K226" s="249"/>
      <c r="L226" s="249"/>
      <c r="M226" s="249"/>
      <c r="N226" s="249"/>
      <c r="O226" s="249"/>
      <c r="P226" s="249"/>
      <c r="Q226" s="249"/>
    </row>
    <row r="227" spans="2:17" s="126" customFormat="1" ht="27" thickBot="1">
      <c r="B227" s="245"/>
      <c r="C227" s="247" t="s">
        <v>338</v>
      </c>
      <c r="D227" s="241"/>
      <c r="E227" s="566"/>
      <c r="F227" s="710"/>
      <c r="G227" s="812"/>
      <c r="H227" s="797"/>
    </row>
    <row r="228" spans="2:17" ht="19.5" thickBot="1">
      <c r="B228" s="837" t="s">
        <v>339</v>
      </c>
      <c r="C228" s="250"/>
      <c r="D228" s="251"/>
      <c r="E228" s="602" t="s">
        <v>4</v>
      </c>
      <c r="F228" s="711"/>
      <c r="G228" s="812"/>
      <c r="H228" s="797"/>
    </row>
    <row r="229" spans="2:17" s="49" customFormat="1" ht="19.5" thickBot="1">
      <c r="B229" s="838"/>
      <c r="C229" s="286"/>
      <c r="D229" s="287"/>
      <c r="E229" s="603" t="s">
        <v>273</v>
      </c>
      <c r="F229" s="712">
        <f t="shared" ref="F229" si="19">SUM(F230:F233)</f>
        <v>1234995.895861777</v>
      </c>
      <c r="G229" s="812"/>
      <c r="H229" s="797"/>
      <c r="I229" s="125"/>
      <c r="J229" s="125"/>
      <c r="K229" s="125"/>
      <c r="L229" s="125"/>
      <c r="M229" s="125"/>
      <c r="N229" s="125"/>
      <c r="O229" s="125"/>
      <c r="P229" s="125"/>
      <c r="Q229" s="125"/>
    </row>
    <row r="230" spans="2:17" s="49" customFormat="1">
      <c r="B230" s="838"/>
      <c r="C230" s="284"/>
      <c r="D230" s="284"/>
      <c r="E230" s="604" t="s">
        <v>136</v>
      </c>
      <c r="F230" s="713">
        <f>SUMPRODUCT($E$210:$E$216,F210:F216,Preforma)</f>
        <v>413732.09959040821</v>
      </c>
      <c r="G230" s="812"/>
      <c r="H230" s="797"/>
      <c r="I230" s="125"/>
      <c r="J230" s="125"/>
      <c r="K230" s="125"/>
      <c r="L230" s="125"/>
      <c r="M230" s="125"/>
      <c r="N230" s="125"/>
      <c r="O230" s="125"/>
      <c r="P230" s="125"/>
      <c r="Q230" s="125"/>
    </row>
    <row r="231" spans="2:17" s="49" customFormat="1">
      <c r="B231" s="838"/>
      <c r="C231" s="284"/>
      <c r="D231" s="284"/>
      <c r="E231" s="604" t="s">
        <v>134</v>
      </c>
      <c r="F231" s="713">
        <f>SUMPRODUCT($E$210:$E$216,F210:F216,Impresion)</f>
        <v>669617.89319846919</v>
      </c>
      <c r="G231" s="812"/>
      <c r="H231" s="797"/>
      <c r="I231" s="125"/>
      <c r="J231" s="125"/>
      <c r="K231" s="125"/>
      <c r="L231" s="125"/>
      <c r="M231" s="125"/>
      <c r="N231" s="125"/>
      <c r="O231" s="125"/>
      <c r="P231" s="125"/>
      <c r="Q231" s="125"/>
    </row>
    <row r="232" spans="2:17" s="49" customFormat="1">
      <c r="B232" s="838"/>
      <c r="C232" s="284"/>
      <c r="D232" s="284"/>
      <c r="E232" s="604" t="s">
        <v>135</v>
      </c>
      <c r="F232" s="714">
        <f>SUMPRODUCT(F$210:F$216,Sobres)</f>
        <v>151645.90307289961</v>
      </c>
      <c r="G232" s="812"/>
      <c r="H232" s="797"/>
      <c r="I232" s="125"/>
      <c r="J232" s="125"/>
      <c r="K232" s="125"/>
      <c r="L232" s="125"/>
      <c r="M232" s="125"/>
      <c r="N232" s="125"/>
      <c r="O232" s="125"/>
      <c r="P232" s="125"/>
      <c r="Q232" s="125"/>
    </row>
    <row r="233" spans="2:17" s="49" customFormat="1">
      <c r="B233" s="838"/>
      <c r="C233" s="284"/>
      <c r="D233" s="284"/>
      <c r="E233" s="604" t="s">
        <v>150</v>
      </c>
      <c r="F233" s="750">
        <f>F57*'Opex de Recibos'!H47</f>
        <v>0</v>
      </c>
      <c r="G233" s="812"/>
      <c r="H233" s="797"/>
      <c r="I233" s="125"/>
      <c r="J233" s="125"/>
      <c r="K233" s="125"/>
      <c r="L233" s="125"/>
      <c r="M233" s="125"/>
      <c r="N233" s="125"/>
      <c r="O233" s="125"/>
      <c r="P233" s="125"/>
      <c r="Q233" s="125"/>
    </row>
    <row r="234" spans="2:17" s="49" customFormat="1" ht="19.5" thickBot="1">
      <c r="B234" s="838"/>
      <c r="C234" s="284"/>
      <c r="D234" s="284"/>
      <c r="E234" s="605"/>
      <c r="F234" s="715"/>
      <c r="G234" s="812"/>
      <c r="H234" s="797"/>
      <c r="I234" s="125"/>
      <c r="J234" s="125"/>
      <c r="K234" s="125"/>
      <c r="L234" s="125"/>
      <c r="M234" s="125"/>
      <c r="N234" s="125"/>
      <c r="O234" s="125"/>
      <c r="P234" s="125"/>
      <c r="Q234" s="125"/>
    </row>
    <row r="235" spans="2:17" s="49" customFormat="1" ht="19.5" thickBot="1">
      <c r="B235" s="832"/>
      <c r="C235" s="286"/>
      <c r="D235" s="287"/>
      <c r="E235" s="603" t="s">
        <v>274</v>
      </c>
      <c r="F235" s="712">
        <f t="shared" ref="F235" si="20">SUM(F236:F239)</f>
        <v>74704.884926847299</v>
      </c>
      <c r="G235" s="812"/>
      <c r="H235" s="797"/>
      <c r="I235" s="125"/>
      <c r="J235" s="125"/>
      <c r="K235" s="125"/>
      <c r="L235" s="125"/>
      <c r="M235" s="125"/>
      <c r="N235" s="125"/>
      <c r="O235" s="125"/>
      <c r="P235" s="125"/>
      <c r="Q235" s="125"/>
    </row>
    <row r="236" spans="2:17" s="49" customFormat="1">
      <c r="B236" s="838"/>
      <c r="C236" s="284"/>
      <c r="D236" s="284"/>
      <c r="E236" s="604" t="s">
        <v>136</v>
      </c>
      <c r="F236" s="713">
        <f>SUMPRODUCT($E219:$E225,F219:F225,Preforma)</f>
        <v>22598.81216250129</v>
      </c>
      <c r="G236" s="812"/>
      <c r="H236" s="797"/>
      <c r="I236" s="125"/>
      <c r="J236" s="125"/>
      <c r="K236" s="125"/>
      <c r="L236" s="125"/>
      <c r="M236" s="125"/>
      <c r="N236" s="125"/>
      <c r="O236" s="125"/>
      <c r="P236" s="125"/>
      <c r="Q236" s="125"/>
    </row>
    <row r="237" spans="2:17" s="49" customFormat="1">
      <c r="B237" s="838"/>
      <c r="C237" s="284"/>
      <c r="D237" s="284"/>
      <c r="E237" s="604" t="s">
        <v>134</v>
      </c>
      <c r="F237" s="713">
        <f>SUMPRODUCT($E219:$E225,F219:F225,Impresion)</f>
        <v>36575.767275546641</v>
      </c>
      <c r="G237" s="812"/>
      <c r="H237" s="797"/>
      <c r="I237" s="125"/>
      <c r="J237" s="125"/>
      <c r="K237" s="125"/>
      <c r="L237" s="125"/>
      <c r="M237" s="125"/>
      <c r="N237" s="125"/>
      <c r="O237" s="125"/>
      <c r="P237" s="125"/>
      <c r="Q237" s="125"/>
    </row>
    <row r="238" spans="2:17" s="49" customFormat="1">
      <c r="B238" s="838"/>
      <c r="C238" s="284"/>
      <c r="D238" s="284"/>
      <c r="E238" s="604" t="s">
        <v>135</v>
      </c>
      <c r="F238" s="714">
        <f>SUMPRODUCT(F219:F225,Sobres)</f>
        <v>8283.1795796121642</v>
      </c>
      <c r="G238" s="812"/>
      <c r="H238" s="797"/>
      <c r="I238" s="125"/>
      <c r="J238" s="125"/>
      <c r="K238" s="125"/>
      <c r="L238" s="125"/>
      <c r="M238" s="125"/>
      <c r="N238" s="125"/>
      <c r="O238" s="125"/>
      <c r="P238" s="125"/>
      <c r="Q238" s="125"/>
    </row>
    <row r="239" spans="2:17" s="49" customFormat="1" ht="19.5" thickBot="1">
      <c r="B239" s="838"/>
      <c r="C239" s="285"/>
      <c r="D239" s="285"/>
      <c r="E239" s="606" t="s">
        <v>150</v>
      </c>
      <c r="F239" s="716">
        <f>F59*Costo_Emision_D</f>
        <v>7247.1259091872062</v>
      </c>
      <c r="G239" s="812"/>
      <c r="H239" s="797"/>
      <c r="I239" s="125"/>
      <c r="J239" s="125"/>
      <c r="K239" s="125"/>
      <c r="L239" s="125"/>
      <c r="M239" s="125"/>
      <c r="N239" s="125"/>
      <c r="O239" s="125"/>
      <c r="P239" s="125"/>
      <c r="Q239" s="125"/>
    </row>
    <row r="240" spans="2:17" ht="19.5" thickBot="1">
      <c r="E240" s="607"/>
      <c r="G240" s="812"/>
      <c r="H240" s="797"/>
    </row>
    <row r="241" spans="2:17" s="126" customFormat="1" ht="27" thickBot="1">
      <c r="B241" s="403"/>
      <c r="C241" s="405" t="s">
        <v>340</v>
      </c>
      <c r="D241" s="396"/>
      <c r="E241" s="566"/>
      <c r="F241" s="673"/>
      <c r="G241" s="812"/>
      <c r="H241" s="797"/>
    </row>
    <row r="242" spans="2:17" s="10" customFormat="1" ht="18.75" customHeight="1" thickBot="1">
      <c r="B242" s="837" t="s">
        <v>346</v>
      </c>
      <c r="C242" s="406"/>
      <c r="D242" s="406"/>
      <c r="E242" s="600"/>
      <c r="F242" s="717"/>
      <c r="G242" s="812"/>
      <c r="H242" s="797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s="10" customFormat="1" ht="18.75" customHeight="1" thickBot="1">
      <c r="B243" s="838"/>
      <c r="C243" s="415"/>
      <c r="D243" s="416"/>
      <c r="E243" s="608" t="s">
        <v>343</v>
      </c>
      <c r="F243" s="718">
        <f>F56</f>
        <v>30315126.050420169</v>
      </c>
      <c r="G243" s="812"/>
      <c r="H243" s="797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s="10" customFormat="1" ht="18.75" customHeight="1">
      <c r="B244" s="838"/>
      <c r="C244" s="273"/>
      <c r="D244" s="274"/>
      <c r="E244" s="576" t="s">
        <v>51</v>
      </c>
      <c r="F244" s="719">
        <f>F243*F254</f>
        <v>24989495.798319329</v>
      </c>
      <c r="G244" s="812"/>
      <c r="H244" s="797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s="10" customFormat="1" ht="18.75" customHeight="1">
      <c r="B245" s="838"/>
      <c r="C245" s="273"/>
      <c r="D245" s="274"/>
      <c r="E245" s="576" t="s">
        <v>52</v>
      </c>
      <c r="F245" s="719">
        <f>F243*F255</f>
        <v>5325630.2521008411</v>
      </c>
      <c r="G245" s="812"/>
      <c r="H245" s="797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s="10" customFormat="1" ht="18.75" customHeight="1">
      <c r="B246" s="838"/>
      <c r="C246" s="273"/>
      <c r="D246" s="274"/>
      <c r="E246" s="576" t="s">
        <v>43</v>
      </c>
      <c r="F246" s="720">
        <f>F57</f>
        <v>8684873.9495798331</v>
      </c>
      <c r="G246" s="812"/>
      <c r="H246" s="797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s="10" customFormat="1" ht="18.75" customHeight="1" thickBot="1">
      <c r="B247" s="838"/>
      <c r="C247" s="407"/>
      <c r="D247" s="406"/>
      <c r="E247" s="600"/>
      <c r="F247" s="721"/>
      <c r="G247" s="812"/>
      <c r="H247" s="797"/>
      <c r="I247" s="252"/>
      <c r="J247" s="252"/>
      <c r="K247" s="252"/>
      <c r="L247" s="252"/>
      <c r="M247" s="252"/>
      <c r="N247" s="252"/>
      <c r="O247" s="252"/>
      <c r="P247" s="252"/>
      <c r="Q247" s="252"/>
    </row>
    <row r="248" spans="2:17" s="10" customFormat="1" ht="18.75" customHeight="1" thickBot="1">
      <c r="B248" s="832"/>
      <c r="C248" s="415"/>
      <c r="D248" s="416"/>
      <c r="E248" s="608" t="s">
        <v>342</v>
      </c>
      <c r="F248" s="718">
        <f>Recibos_a_Imiprimir_FyR</f>
        <v>1655868.2296447989</v>
      </c>
      <c r="G248" s="812"/>
      <c r="H248" s="797"/>
      <c r="I248" s="252"/>
      <c r="J248" s="252"/>
      <c r="K248" s="252"/>
      <c r="L248" s="252"/>
      <c r="M248" s="252"/>
      <c r="N248" s="252"/>
      <c r="O248" s="252"/>
      <c r="P248" s="252"/>
      <c r="Q248" s="252"/>
    </row>
    <row r="249" spans="2:17" s="10" customFormat="1" ht="18.75" customHeight="1">
      <c r="B249" s="832"/>
      <c r="C249" s="276"/>
      <c r="D249" s="274"/>
      <c r="E249" s="576" t="s">
        <v>116</v>
      </c>
      <c r="F249" s="722">
        <f>F248*F35</f>
        <v>1241901.1722335992</v>
      </c>
      <c r="G249" s="812"/>
      <c r="H249" s="797"/>
      <c r="I249" s="252"/>
      <c r="J249" s="252"/>
      <c r="K249" s="252"/>
      <c r="L249" s="252"/>
      <c r="M249" s="252"/>
      <c r="N249" s="252"/>
      <c r="O249" s="252"/>
      <c r="P249" s="252"/>
      <c r="Q249" s="252"/>
    </row>
    <row r="250" spans="2:17" s="10" customFormat="1" ht="18.75" customHeight="1">
      <c r="B250" s="832"/>
      <c r="C250" s="276"/>
      <c r="D250" s="274"/>
      <c r="E250" s="576" t="s">
        <v>117</v>
      </c>
      <c r="F250" s="722">
        <f>D_FR*F36</f>
        <v>413967.05741119973</v>
      </c>
      <c r="G250" s="812"/>
      <c r="H250" s="797"/>
      <c r="I250" s="252"/>
      <c r="J250" s="252"/>
      <c r="K250" s="252"/>
      <c r="L250" s="252"/>
      <c r="M250" s="252"/>
      <c r="N250" s="252"/>
      <c r="O250" s="252"/>
      <c r="P250" s="252"/>
      <c r="Q250" s="252"/>
    </row>
    <row r="251" spans="2:17" s="10" customFormat="1" ht="18.75" customHeight="1">
      <c r="B251" s="832"/>
      <c r="C251" s="277"/>
      <c r="D251" s="274"/>
      <c r="E251" s="576" t="s">
        <v>118</v>
      </c>
      <c r="F251" s="722">
        <f>F59</f>
        <v>109473.20104512396</v>
      </c>
      <c r="G251" s="812"/>
      <c r="H251" s="797"/>
      <c r="I251" s="252"/>
      <c r="J251" s="252"/>
      <c r="K251" s="252"/>
      <c r="L251" s="252"/>
      <c r="M251" s="252"/>
      <c r="N251" s="252"/>
      <c r="O251" s="252"/>
      <c r="P251" s="252"/>
      <c r="Q251" s="252"/>
    </row>
    <row r="252" spans="2:17" s="10" customFormat="1" ht="18.75" customHeight="1" thickBot="1">
      <c r="B252" s="832"/>
      <c r="C252" s="425"/>
      <c r="D252" s="406"/>
      <c r="E252" s="600"/>
      <c r="F252" s="721"/>
      <c r="G252" s="812"/>
      <c r="H252" s="797"/>
      <c r="I252" s="252"/>
      <c r="J252" s="252"/>
      <c r="K252" s="252"/>
      <c r="L252" s="252"/>
      <c r="M252" s="252"/>
      <c r="N252" s="252"/>
      <c r="O252" s="252"/>
      <c r="P252" s="252"/>
      <c r="Q252" s="252"/>
    </row>
    <row r="253" spans="2:17" s="10" customFormat="1" ht="18.75" customHeight="1" thickBot="1">
      <c r="B253" s="832"/>
      <c r="C253" s="415"/>
      <c r="D253" s="416"/>
      <c r="E253" s="608" t="s">
        <v>344</v>
      </c>
      <c r="F253" s="723"/>
      <c r="G253" s="812"/>
      <c r="H253" s="797"/>
      <c r="I253" s="252"/>
      <c r="J253" s="252"/>
      <c r="K253" s="252"/>
      <c r="L253" s="252"/>
      <c r="M253" s="252"/>
      <c r="N253" s="252"/>
      <c r="O253" s="252"/>
      <c r="P253" s="252"/>
      <c r="Q253" s="252"/>
    </row>
    <row r="254" spans="2:17" s="10" customFormat="1" ht="18.75" customHeight="1">
      <c r="B254" s="832"/>
      <c r="C254" s="275"/>
      <c r="D254" s="271"/>
      <c r="E254" s="593" t="s">
        <v>353</v>
      </c>
      <c r="F254" s="702">
        <f>F33</f>
        <v>0.82432432432432434</v>
      </c>
      <c r="G254" s="812"/>
      <c r="H254" s="797"/>
      <c r="I254" s="252"/>
      <c r="J254" s="252"/>
      <c r="K254" s="252"/>
      <c r="L254" s="252"/>
      <c r="M254" s="252"/>
      <c r="N254" s="252"/>
      <c r="O254" s="252"/>
      <c r="P254" s="252"/>
      <c r="Q254" s="252"/>
    </row>
    <row r="255" spans="2:17" s="10" customFormat="1" ht="18.75" customHeight="1">
      <c r="B255" s="832"/>
      <c r="C255" s="275"/>
      <c r="D255" s="271"/>
      <c r="E255" s="593" t="s">
        <v>352</v>
      </c>
      <c r="F255" s="702">
        <f>F34</f>
        <v>0.17567567567567569</v>
      </c>
      <c r="G255" s="812"/>
      <c r="H255" s="797"/>
      <c r="I255" s="252"/>
      <c r="J255" s="252"/>
      <c r="K255" s="252"/>
      <c r="L255" s="252"/>
      <c r="M255" s="252"/>
      <c r="N255" s="252"/>
      <c r="O255" s="252"/>
      <c r="P255" s="252"/>
      <c r="Q255" s="252"/>
    </row>
    <row r="256" spans="2:17" s="10" customFormat="1" ht="18.75" customHeight="1" thickBot="1">
      <c r="B256" s="833"/>
      <c r="C256" s="278"/>
      <c r="D256" s="279"/>
      <c r="E256" s="597" t="s">
        <v>354</v>
      </c>
      <c r="F256" s="703">
        <f>F62</f>
        <v>0.22268907563025214</v>
      </c>
      <c r="G256" s="812"/>
      <c r="H256" s="797"/>
      <c r="I256" s="252"/>
      <c r="J256" s="252"/>
      <c r="K256" s="252"/>
      <c r="L256" s="252"/>
      <c r="M256" s="252"/>
      <c r="N256" s="252"/>
      <c r="O256" s="252"/>
      <c r="P256" s="252"/>
      <c r="Q256" s="252"/>
    </row>
    <row r="257" spans="2:8" ht="19.5" thickBot="1">
      <c r="F257" s="724"/>
      <c r="G257" s="812"/>
      <c r="H257" s="797"/>
    </row>
    <row r="258" spans="2:8" s="126" customFormat="1" ht="27" thickBot="1">
      <c r="B258" s="403"/>
      <c r="C258" s="404" t="s">
        <v>341</v>
      </c>
      <c r="D258" s="396"/>
      <c r="E258" s="566"/>
      <c r="F258" s="673"/>
      <c r="G258" s="812"/>
      <c r="H258" s="797"/>
    </row>
    <row r="259" spans="2:8" s="126" customFormat="1" ht="18.75" customHeight="1" thickBot="1">
      <c r="B259" s="843" t="s">
        <v>345</v>
      </c>
      <c r="C259" s="282"/>
      <c r="D259" s="282"/>
      <c r="E259" s="609" t="s">
        <v>4</v>
      </c>
      <c r="F259" s="725" t="str">
        <f>Moneda_Distribucion</f>
        <v>PEN</v>
      </c>
      <c r="G259" s="812"/>
      <c r="H259" s="797"/>
    </row>
    <row r="260" spans="2:8" ht="18.75" customHeight="1" thickBot="1">
      <c r="B260" s="844"/>
      <c r="C260" s="409"/>
      <c r="D260" s="409"/>
      <c r="E260" s="608" t="s">
        <v>119</v>
      </c>
      <c r="F260" s="726">
        <f>SUM(F261:F263)</f>
        <v>9924598.7394957989</v>
      </c>
      <c r="G260" s="812"/>
      <c r="H260" s="797"/>
    </row>
    <row r="261" spans="2:8" ht="18.75" customHeight="1">
      <c r="B261" s="844"/>
      <c r="C261" s="280"/>
      <c r="D261" s="280"/>
      <c r="E261" s="593" t="s">
        <v>137</v>
      </c>
      <c r="F261" s="727">
        <f>F244*'Opex de Recibos'!H53</f>
        <v>6772153.3613445386</v>
      </c>
      <c r="G261" s="812"/>
      <c r="H261" s="797"/>
    </row>
    <row r="262" spans="2:8" ht="18.75" customHeight="1">
      <c r="B262" s="844"/>
      <c r="C262" s="280"/>
      <c r="D262" s="280"/>
      <c r="E262" s="593" t="s">
        <v>138</v>
      </c>
      <c r="F262" s="727">
        <f>F245*'Opex de Recibos'!H54</f>
        <v>2492394.9579831939</v>
      </c>
      <c r="G262" s="812"/>
      <c r="H262" s="797"/>
    </row>
    <row r="263" spans="2:8" ht="18.75" customHeight="1" thickBot="1">
      <c r="B263" s="844"/>
      <c r="C263" s="280"/>
      <c r="D263" s="280"/>
      <c r="E263" s="593" t="s">
        <v>139</v>
      </c>
      <c r="F263" s="727">
        <f>F246*'Opex de Recibos'!H55</f>
        <v>660050.42016806733</v>
      </c>
      <c r="G263" s="812"/>
      <c r="H263" s="797"/>
    </row>
    <row r="264" spans="2:8" ht="18.75" customHeight="1" thickBot="1">
      <c r="B264" s="844"/>
      <c r="C264" s="409"/>
      <c r="D264" s="409"/>
      <c r="E264" s="608" t="s">
        <v>296</v>
      </c>
      <c r="F264" s="726">
        <f t="shared" ref="F264" si="21">SUM(F265:F267)</f>
        <v>538611.76382317638</v>
      </c>
      <c r="G264" s="812"/>
      <c r="H264" s="797"/>
    </row>
    <row r="265" spans="2:8" ht="18.75" customHeight="1">
      <c r="B265" s="844"/>
      <c r="C265" s="280"/>
      <c r="D265" s="280"/>
      <c r="E265" s="593" t="s">
        <v>258</v>
      </c>
      <c r="F265" s="728">
        <f>F249*'Opex de Recibos'!H53</f>
        <v>336555.21767530544</v>
      </c>
      <c r="G265" s="812"/>
      <c r="H265" s="797"/>
    </row>
    <row r="266" spans="2:8" ht="18.75" customHeight="1">
      <c r="B266" s="844"/>
      <c r="C266" s="280"/>
      <c r="D266" s="280"/>
      <c r="E266" s="593" t="s">
        <v>259</v>
      </c>
      <c r="F266" s="728">
        <f>F250*'Opex de Recibos'!H54</f>
        <v>193736.58286844147</v>
      </c>
      <c r="G266" s="812"/>
      <c r="H266" s="797"/>
    </row>
    <row r="267" spans="2:8" ht="18.75" customHeight="1" thickBot="1">
      <c r="B267" s="845"/>
      <c r="C267" s="281"/>
      <c r="D267" s="281"/>
      <c r="E267" s="597" t="s">
        <v>260</v>
      </c>
      <c r="F267" s="729">
        <f>F251*'Opex de Recibos'!H55</f>
        <v>8319.9632794294212</v>
      </c>
      <c r="G267" s="812"/>
      <c r="H267" s="797"/>
    </row>
    <row r="268" spans="2:8" ht="19.5" thickBot="1">
      <c r="F268" s="730"/>
      <c r="G268" s="812"/>
      <c r="H268" s="797"/>
    </row>
    <row r="269" spans="2:8" s="126" customFormat="1" ht="27" thickBot="1">
      <c r="B269" s="403"/>
      <c r="C269" s="405" t="s">
        <v>415</v>
      </c>
      <c r="D269" s="396"/>
      <c r="E269" s="566"/>
      <c r="F269" s="673"/>
      <c r="G269" s="812"/>
      <c r="H269" s="797"/>
    </row>
    <row r="270" spans="2:8" s="85" customFormat="1" ht="15" customHeight="1">
      <c r="B270" s="840"/>
      <c r="C270" s="282"/>
      <c r="D270" s="282"/>
      <c r="E270" s="609" t="s">
        <v>4</v>
      </c>
      <c r="F270" s="725" t="str">
        <f>Moneda_Recaudacion</f>
        <v>PEN</v>
      </c>
      <c r="G270" s="812"/>
      <c r="H270" s="797"/>
    </row>
    <row r="271" spans="2:8">
      <c r="B271" s="841"/>
      <c r="C271" s="280"/>
      <c r="D271" s="280"/>
      <c r="E271" s="593" t="s">
        <v>163</v>
      </c>
      <c r="F271" s="665">
        <f>Recibos_Recaudados_Total</f>
        <v>39000000</v>
      </c>
      <c r="G271" s="812"/>
      <c r="H271" s="797"/>
    </row>
    <row r="272" spans="2:8">
      <c r="B272" s="841"/>
      <c r="C272" s="280"/>
      <c r="D272" s="280"/>
      <c r="E272" s="593" t="s">
        <v>347</v>
      </c>
      <c r="F272" s="731">
        <f>F271*Factor_Servicio_FyR</f>
        <v>2130252.1008403362</v>
      </c>
      <c r="G272" s="812"/>
      <c r="H272" s="797"/>
    </row>
    <row r="273" spans="2:17" s="328" customFormat="1">
      <c r="B273" s="841"/>
      <c r="C273" s="280"/>
      <c r="D273" s="280"/>
      <c r="E273" s="593"/>
      <c r="F273" s="731"/>
      <c r="G273" s="812"/>
      <c r="H273" s="797"/>
      <c r="I273" s="338"/>
      <c r="J273" s="338"/>
      <c r="K273" s="338"/>
      <c r="L273" s="338"/>
      <c r="M273" s="338"/>
      <c r="N273" s="338"/>
      <c r="O273" s="338"/>
      <c r="P273" s="338"/>
      <c r="Q273" s="338"/>
    </row>
    <row r="274" spans="2:17">
      <c r="B274" s="841"/>
      <c r="C274" s="280"/>
      <c r="D274" s="280"/>
      <c r="E274" s="610" t="s">
        <v>414</v>
      </c>
      <c r="F274" s="732">
        <f>R_Total_Recibos*F278</f>
        <v>53808171.767118759</v>
      </c>
      <c r="G274" s="812"/>
      <c r="H274" s="797"/>
    </row>
    <row r="275" spans="2:17">
      <c r="B275" s="841"/>
      <c r="C275" s="283"/>
      <c r="D275" s="283"/>
      <c r="E275" s="610" t="s">
        <v>413</v>
      </c>
      <c r="F275" s="733">
        <f>F274*F48</f>
        <v>2939101.8192123692</v>
      </c>
      <c r="G275" s="812"/>
      <c r="H275" s="797"/>
    </row>
    <row r="276" spans="2:17">
      <c r="B276" s="841"/>
      <c r="C276" s="330"/>
      <c r="D276" s="330"/>
      <c r="E276" s="600"/>
      <c r="F276" s="706"/>
      <c r="G276" s="812"/>
      <c r="H276" s="797"/>
    </row>
    <row r="277" spans="2:17" ht="19.5" thickBot="1">
      <c r="B277" s="841"/>
      <c r="C277" s="330"/>
      <c r="D277" s="330"/>
      <c r="E277" s="600"/>
      <c r="F277" s="706"/>
      <c r="G277" s="812"/>
      <c r="H277" s="797"/>
    </row>
    <row r="278" spans="2:17" ht="19.5" thickBot="1">
      <c r="B278" s="842"/>
      <c r="C278" s="255"/>
      <c r="D278" s="256"/>
      <c r="E278" s="611" t="s">
        <v>348</v>
      </c>
      <c r="F278" s="734">
        <f>Costo_Recaudación_x_Recibo</f>
        <v>1.3796967119774042</v>
      </c>
      <c r="G278" s="812"/>
      <c r="H278" s="797"/>
    </row>
  </sheetData>
  <dataConsolidate/>
  <mergeCells count="14">
    <mergeCell ref="B41:B51"/>
    <mergeCell ref="B87:B106"/>
    <mergeCell ref="B108:B123"/>
    <mergeCell ref="B66:B81"/>
    <mergeCell ref="B270:B278"/>
    <mergeCell ref="B54:B63"/>
    <mergeCell ref="B228:B239"/>
    <mergeCell ref="B208:B226"/>
    <mergeCell ref="B259:B267"/>
    <mergeCell ref="B242:B256"/>
    <mergeCell ref="B169:B192"/>
    <mergeCell ref="B196:B203"/>
    <mergeCell ref="B129:B147"/>
    <mergeCell ref="B149:B167"/>
  </mergeCells>
  <pageMargins left="0.7" right="0.7" top="0.75" bottom="0.75" header="0.3" footer="0.3"/>
  <pageSetup paperSize="9" orientation="portrait" horizontalDpi="4294967295" verticalDpi="4294967295" r:id="rId1"/>
  <ignoredErrors>
    <ignoredError sqref="F80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085E35FD-9D99-4331-99E6-0858FF55D60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G41</xm:sqref>
        </x14:conditionalFormatting>
        <x14:conditionalFormatting xmlns:xm="http://schemas.microsoft.com/office/excel/2006/main">
          <x14:cfRule type="iconSet" priority="6" id="{EE16EF1D-9CA5-46D9-A38E-61CBF0D989D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G44</xm:sqref>
        </x14:conditionalFormatting>
        <x14:conditionalFormatting xmlns:xm="http://schemas.microsoft.com/office/excel/2006/main">
          <x14:cfRule type="iconSet" priority="5" id="{EBEFB9BE-CE00-4C5B-A6E0-655368BF300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G25</xm:sqref>
        </x14:conditionalFormatting>
        <x14:conditionalFormatting xmlns:xm="http://schemas.microsoft.com/office/excel/2006/main">
          <x14:cfRule type="iconSet" priority="4" id="{6C0F5152-B5E4-4EE3-9EB5-433A069B8B3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G42:G43</xm:sqref>
        </x14:conditionalFormatting>
        <x14:conditionalFormatting xmlns:xm="http://schemas.microsoft.com/office/excel/2006/main">
          <x14:cfRule type="iconSet" priority="3" id="{A37E531A-2BB1-4473-B599-47BB82FB4ED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G45:H278</xm:sqref>
        </x14:conditionalFormatting>
        <x14:conditionalFormatting xmlns:xm="http://schemas.microsoft.com/office/excel/2006/main">
          <x14:cfRule type="iconSet" priority="1" id="{F160EBEA-F641-4A35-87A5-D5059D13D93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G19:G23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view="pageBreakPreview" topLeftCell="A2" zoomScale="80" zoomScaleSheetLayoutView="80" workbookViewId="0">
      <selection activeCell="A6" sqref="A6"/>
    </sheetView>
  </sheetViews>
  <sheetFormatPr baseColWidth="10" defaultColWidth="10.85546875" defaultRowHeight="15"/>
  <cols>
    <col min="1" max="1" width="4.85546875" style="340" customWidth="1"/>
    <col min="2" max="2" width="4" style="340" bestFit="1" customWidth="1"/>
    <col min="3" max="3" width="5.7109375" style="340" customWidth="1"/>
    <col min="4" max="4" width="16.42578125" style="12" customWidth="1"/>
    <col min="5" max="5" width="14" style="12" customWidth="1"/>
    <col min="6" max="6" width="53.28515625" style="12" customWidth="1"/>
    <col min="7" max="7" width="13.85546875" style="12" bestFit="1" customWidth="1"/>
    <col min="8" max="8" width="18.42578125" style="12" bestFit="1" customWidth="1"/>
    <col min="9" max="9" width="15.28515625" style="24" customWidth="1"/>
    <col min="10" max="10" width="14.42578125" style="12" customWidth="1"/>
    <col min="11" max="11" width="15.85546875" style="81" customWidth="1"/>
    <col min="12" max="12" width="19" style="81" customWidth="1"/>
    <col min="13" max="13" width="19.42578125" style="81" customWidth="1"/>
    <col min="14" max="16" width="15.85546875" style="81" customWidth="1"/>
    <col min="17" max="17" width="21.42578125" style="12" customWidth="1"/>
    <col min="18" max="18" width="46" style="13" bestFit="1" customWidth="1"/>
    <col min="19" max="16384" width="10.85546875" style="12"/>
  </cols>
  <sheetData>
    <row r="1" spans="1:18" s="338" customFormat="1">
      <c r="A1" s="340"/>
      <c r="B1" s="340"/>
      <c r="C1" s="340"/>
      <c r="I1" s="513"/>
      <c r="K1" s="514"/>
      <c r="L1" s="514"/>
      <c r="M1" s="514"/>
      <c r="N1" s="514"/>
      <c r="O1" s="514"/>
      <c r="P1" s="514"/>
      <c r="R1" s="508"/>
    </row>
    <row r="2" spans="1:18" s="338" customFormat="1" ht="17.25" customHeight="1">
      <c r="A2" s="500"/>
      <c r="B2" s="500"/>
      <c r="C2" s="500"/>
      <c r="D2" s="517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</row>
    <row r="3" spans="1:18" s="338" customFormat="1" ht="25.5" customHeight="1">
      <c r="A3" s="501"/>
      <c r="B3" s="340"/>
      <c r="C3" s="340"/>
      <c r="I3" s="513"/>
      <c r="K3" s="516"/>
      <c r="L3" s="516"/>
      <c r="M3" s="516"/>
      <c r="N3" s="516"/>
      <c r="O3" s="516"/>
      <c r="P3" s="516"/>
      <c r="Q3" s="507"/>
      <c r="R3" s="508"/>
    </row>
    <row r="4" spans="1:18" s="340" customFormat="1" ht="25.5" customHeight="1" thickBot="1">
      <c r="A4" s="501"/>
      <c r="H4" s="505"/>
      <c r="I4" s="505"/>
      <c r="J4" s="505"/>
      <c r="K4" s="509"/>
      <c r="L4" s="509"/>
      <c r="M4" s="509"/>
      <c r="N4" s="510"/>
      <c r="O4" s="510"/>
      <c r="P4" s="510"/>
      <c r="Q4" s="511"/>
      <c r="R4" s="512"/>
    </row>
    <row r="5" spans="1:18" s="636" customFormat="1" ht="93.95" customHeight="1">
      <c r="A5" s="635"/>
      <c r="B5" s="635"/>
      <c r="C5" s="635"/>
      <c r="D5" s="645" t="s">
        <v>7</v>
      </c>
      <c r="E5" s="646" t="s">
        <v>11</v>
      </c>
      <c r="F5" s="646" t="s">
        <v>35</v>
      </c>
      <c r="G5" s="646" t="s">
        <v>10</v>
      </c>
      <c r="H5" s="646" t="s">
        <v>9</v>
      </c>
      <c r="I5" s="647" t="s">
        <v>113</v>
      </c>
      <c r="J5" s="646" t="s">
        <v>4</v>
      </c>
      <c r="K5" s="648" t="s">
        <v>124</v>
      </c>
      <c r="L5" s="648" t="s">
        <v>403</v>
      </c>
      <c r="M5" s="648" t="s">
        <v>401</v>
      </c>
      <c r="N5" s="648" t="s">
        <v>402</v>
      </c>
      <c r="O5" s="648" t="s">
        <v>122</v>
      </c>
      <c r="P5" s="648" t="s">
        <v>123</v>
      </c>
      <c r="Q5" s="649" t="s">
        <v>404</v>
      </c>
      <c r="R5" s="650" t="s">
        <v>111</v>
      </c>
    </row>
    <row r="6" spans="1:18" s="25" customFormat="1" ht="26.25" customHeight="1" thickBot="1">
      <c r="A6" s="502"/>
      <c r="B6" s="502"/>
      <c r="C6" s="502"/>
      <c r="D6" s="850" t="s">
        <v>376</v>
      </c>
      <c r="E6" s="851"/>
      <c r="F6" s="851"/>
      <c r="G6" s="651"/>
      <c r="H6" s="651"/>
      <c r="I6" s="652"/>
      <c r="J6" s="651"/>
      <c r="K6" s="652"/>
      <c r="L6" s="652"/>
      <c r="M6" s="652">
        <f>SUM(Valor_Presente_Osiptel)</f>
        <v>13294103.902499443</v>
      </c>
      <c r="N6" s="652">
        <f>SUM(N7:N19)</f>
        <v>3347163.8865153678</v>
      </c>
      <c r="O6" s="652"/>
      <c r="P6" s="652"/>
      <c r="Q6" s="652">
        <f>SUM(Q7:Q19)</f>
        <v>2677731.1092122947</v>
      </c>
      <c r="R6" s="653"/>
    </row>
    <row r="7" spans="1:18">
      <c r="A7" s="852"/>
      <c r="B7" s="852"/>
      <c r="C7" s="852"/>
      <c r="D7" s="751" t="s">
        <v>369</v>
      </c>
      <c r="E7" s="752" t="s">
        <v>370</v>
      </c>
      <c r="F7" s="753" t="s">
        <v>374</v>
      </c>
      <c r="G7" s="752" t="s">
        <v>375</v>
      </c>
      <c r="H7" s="754">
        <v>39202</v>
      </c>
      <c r="I7" s="755">
        <v>30000000</v>
      </c>
      <c r="J7" s="752" t="s">
        <v>34</v>
      </c>
      <c r="K7" s="633">
        <f t="shared" ref="K7:K10" si="0">Factor_Anual</f>
        <v>0.25177807478141218</v>
      </c>
      <c r="L7" s="756">
        <v>3.1284275318979264</v>
      </c>
      <c r="M7" s="757">
        <f>I7*POWER(1-'BD-Inicio'!$F$10,YEAR('BD-Inicio'!$F$9)-YEAR(H7))/(IF(J7="USD",1,L7))</f>
        <v>6361858.389156145</v>
      </c>
      <c r="N7" s="757">
        <f t="shared" ref="N7:N10" si="1">K7*M7</f>
        <v>1601776.4572537104</v>
      </c>
      <c r="O7" s="758">
        <v>0.8</v>
      </c>
      <c r="P7" s="758">
        <v>1</v>
      </c>
      <c r="Q7" s="759">
        <f>N7*O7*P7</f>
        <v>1281421.1658029684</v>
      </c>
      <c r="R7" s="760"/>
    </row>
    <row r="8" spans="1:18">
      <c r="A8" s="852"/>
      <c r="B8" s="852"/>
      <c r="C8" s="852"/>
      <c r="D8" s="751" t="s">
        <v>371</v>
      </c>
      <c r="E8" s="752" t="s">
        <v>370</v>
      </c>
      <c r="F8" s="753" t="s">
        <v>374</v>
      </c>
      <c r="G8" s="752" t="s">
        <v>375</v>
      </c>
      <c r="H8" s="754">
        <v>39203</v>
      </c>
      <c r="I8" s="755">
        <v>14000000</v>
      </c>
      <c r="J8" s="752" t="s">
        <v>34</v>
      </c>
      <c r="K8" s="633">
        <f t="shared" si="0"/>
        <v>0.25177807478141218</v>
      </c>
      <c r="L8" s="756">
        <v>2.9248502374939869</v>
      </c>
      <c r="M8" s="757">
        <f>I8*POWER(1-'BD-Inicio'!$F$10,YEAR('BD-Inicio'!$F$9)-YEAR(H8))/(IF(J8="USD",1,L8))</f>
        <v>3175508.2427757871</v>
      </c>
      <c r="N8" s="757">
        <f t="shared" si="1"/>
        <v>799523.35181859287</v>
      </c>
      <c r="O8" s="758">
        <v>0.8</v>
      </c>
      <c r="P8" s="758">
        <v>1</v>
      </c>
      <c r="Q8" s="759">
        <f t="shared" ref="Q8:Q19" si="2">N8*O8*P8</f>
        <v>639618.68145487434</v>
      </c>
      <c r="R8" s="760"/>
    </row>
    <row r="9" spans="1:18">
      <c r="A9" s="852"/>
      <c r="B9" s="852"/>
      <c r="C9" s="852"/>
      <c r="D9" s="751" t="s">
        <v>372</v>
      </c>
      <c r="E9" s="752" t="s">
        <v>370</v>
      </c>
      <c r="F9" s="753" t="s">
        <v>374</v>
      </c>
      <c r="G9" s="752" t="s">
        <v>375</v>
      </c>
      <c r="H9" s="754">
        <v>39204</v>
      </c>
      <c r="I9" s="755">
        <v>12300000</v>
      </c>
      <c r="J9" s="752" t="s">
        <v>34</v>
      </c>
      <c r="K9" s="633">
        <f t="shared" si="0"/>
        <v>0.25177807478141218</v>
      </c>
      <c r="L9" s="756">
        <v>2.7019011093073595</v>
      </c>
      <c r="M9" s="757">
        <f>I9*POWER(1-'BD-Inicio'!$F$10,YEAR('BD-Inicio'!$F$9)-YEAR(H9))/(IF(J9="USD",1,L9))</f>
        <v>3020122.1194758411</v>
      </c>
      <c r="N9" s="757">
        <f t="shared" si="1"/>
        <v>760400.53284638538</v>
      </c>
      <c r="O9" s="758">
        <v>0.8</v>
      </c>
      <c r="P9" s="758">
        <v>1</v>
      </c>
      <c r="Q9" s="759">
        <f t="shared" si="2"/>
        <v>608320.42627710837</v>
      </c>
      <c r="R9" s="760"/>
    </row>
    <row r="10" spans="1:18">
      <c r="A10" s="852"/>
      <c r="B10" s="852"/>
      <c r="C10" s="852"/>
      <c r="D10" s="751" t="s">
        <v>373</v>
      </c>
      <c r="E10" s="752" t="s">
        <v>370</v>
      </c>
      <c r="F10" s="753" t="s">
        <v>374</v>
      </c>
      <c r="G10" s="752" t="s">
        <v>375</v>
      </c>
      <c r="H10" s="754">
        <v>39205</v>
      </c>
      <c r="I10" s="755">
        <v>3000000</v>
      </c>
      <c r="J10" s="752" t="s">
        <v>34</v>
      </c>
      <c r="K10" s="633">
        <f t="shared" si="0"/>
        <v>0.25177807478141218</v>
      </c>
      <c r="L10" s="756">
        <v>2.7019011093073595</v>
      </c>
      <c r="M10" s="757">
        <f>I10*POWER(1-'BD-Inicio'!$F$10,YEAR('BD-Inicio'!$F$9)-YEAR(H10))/(IF(J10="USD",1,L10))</f>
        <v>736615.15109166852</v>
      </c>
      <c r="N10" s="757">
        <f t="shared" si="1"/>
        <v>185463.54459667933</v>
      </c>
      <c r="O10" s="758">
        <v>0.8</v>
      </c>
      <c r="P10" s="758">
        <v>1</v>
      </c>
      <c r="Q10" s="759">
        <f t="shared" si="2"/>
        <v>148370.83567734348</v>
      </c>
      <c r="R10" s="760"/>
    </row>
    <row r="11" spans="1:18">
      <c r="A11" s="852"/>
      <c r="B11" s="852"/>
      <c r="C11" s="852"/>
      <c r="D11" s="751" t="s">
        <v>405</v>
      </c>
      <c r="E11" s="752"/>
      <c r="F11" s="753"/>
      <c r="G11" s="752"/>
      <c r="H11" s="754"/>
      <c r="I11" s="755"/>
      <c r="J11" s="752"/>
      <c r="K11" s="633"/>
      <c r="L11" s="756"/>
      <c r="M11" s="757"/>
      <c r="N11" s="757"/>
      <c r="O11" s="758"/>
      <c r="P11" s="758"/>
      <c r="Q11" s="759">
        <f t="shared" si="2"/>
        <v>0</v>
      </c>
      <c r="R11" s="760"/>
    </row>
    <row r="12" spans="1:18">
      <c r="A12" s="852"/>
      <c r="B12" s="852"/>
      <c r="C12" s="852"/>
      <c r="D12" s="751" t="s">
        <v>405</v>
      </c>
      <c r="E12" s="752"/>
      <c r="F12" s="753"/>
      <c r="G12" s="752"/>
      <c r="H12" s="754"/>
      <c r="I12" s="755"/>
      <c r="J12" s="752"/>
      <c r="K12" s="633"/>
      <c r="L12" s="756"/>
      <c r="M12" s="757"/>
      <c r="N12" s="757"/>
      <c r="O12" s="758"/>
      <c r="P12" s="758"/>
      <c r="Q12" s="759">
        <f t="shared" si="2"/>
        <v>0</v>
      </c>
      <c r="R12" s="760"/>
    </row>
    <row r="13" spans="1:18">
      <c r="A13" s="852"/>
      <c r="B13" s="852"/>
      <c r="C13" s="852"/>
      <c r="D13" s="518" t="s">
        <v>405</v>
      </c>
      <c r="E13" s="392"/>
      <c r="F13" s="301"/>
      <c r="G13" s="392"/>
      <c r="H13" s="299"/>
      <c r="I13" s="238"/>
      <c r="J13" s="392"/>
      <c r="K13" s="633"/>
      <c r="L13" s="297"/>
      <c r="M13" s="296"/>
      <c r="N13" s="296"/>
      <c r="O13" s="298"/>
      <c r="P13" s="298"/>
      <c r="Q13" s="300">
        <f t="shared" si="2"/>
        <v>0</v>
      </c>
      <c r="R13" s="519"/>
    </row>
    <row r="14" spans="1:18">
      <c r="A14" s="852"/>
      <c r="B14" s="852"/>
      <c r="C14" s="852"/>
      <c r="D14" s="518"/>
      <c r="E14" s="392"/>
      <c r="F14" s="301"/>
      <c r="G14" s="392"/>
      <c r="H14" s="299"/>
      <c r="I14" s="238"/>
      <c r="J14" s="392"/>
      <c r="K14" s="633"/>
      <c r="L14" s="297"/>
      <c r="M14" s="296"/>
      <c r="N14" s="296"/>
      <c r="O14" s="298"/>
      <c r="P14" s="298"/>
      <c r="Q14" s="300">
        <f t="shared" si="2"/>
        <v>0</v>
      </c>
      <c r="R14" s="519"/>
    </row>
    <row r="15" spans="1:18">
      <c r="A15" s="852"/>
      <c r="B15" s="852"/>
      <c r="C15" s="852"/>
      <c r="D15" s="518"/>
      <c r="E15" s="392"/>
      <c r="F15" s="301"/>
      <c r="G15" s="392"/>
      <c r="H15" s="299"/>
      <c r="I15" s="238"/>
      <c r="J15" s="392"/>
      <c r="K15" s="633"/>
      <c r="L15" s="297"/>
      <c r="M15" s="296"/>
      <c r="N15" s="296"/>
      <c r="O15" s="298"/>
      <c r="P15" s="298"/>
      <c r="Q15" s="300">
        <f t="shared" si="2"/>
        <v>0</v>
      </c>
      <c r="R15" s="519"/>
    </row>
    <row r="16" spans="1:18">
      <c r="A16" s="852"/>
      <c r="B16" s="852"/>
      <c r="C16" s="852"/>
      <c r="D16" s="518"/>
      <c r="E16" s="392"/>
      <c r="F16" s="301"/>
      <c r="G16" s="392"/>
      <c r="H16" s="299"/>
      <c r="I16" s="238"/>
      <c r="J16" s="392"/>
      <c r="K16" s="633"/>
      <c r="L16" s="297"/>
      <c r="M16" s="296"/>
      <c r="N16" s="296"/>
      <c r="O16" s="298"/>
      <c r="P16" s="298"/>
      <c r="Q16" s="300">
        <f t="shared" si="2"/>
        <v>0</v>
      </c>
      <c r="R16" s="519"/>
    </row>
    <row r="17" spans="1:18">
      <c r="A17" s="852"/>
      <c r="B17" s="852"/>
      <c r="C17" s="852"/>
      <c r="D17" s="518"/>
      <c r="E17" s="392"/>
      <c r="F17" s="301"/>
      <c r="G17" s="392"/>
      <c r="H17" s="299"/>
      <c r="I17" s="238"/>
      <c r="J17" s="392"/>
      <c r="K17" s="633"/>
      <c r="L17" s="297"/>
      <c r="M17" s="296"/>
      <c r="N17" s="296"/>
      <c r="O17" s="298"/>
      <c r="P17" s="298"/>
      <c r="Q17" s="300">
        <f t="shared" si="2"/>
        <v>0</v>
      </c>
      <c r="R17" s="519"/>
    </row>
    <row r="18" spans="1:18">
      <c r="A18" s="852"/>
      <c r="B18" s="852"/>
      <c r="C18" s="852"/>
      <c r="D18" s="518"/>
      <c r="E18" s="392"/>
      <c r="F18" s="301"/>
      <c r="G18" s="392"/>
      <c r="H18" s="299"/>
      <c r="I18" s="238"/>
      <c r="J18" s="392"/>
      <c r="K18" s="633"/>
      <c r="L18" s="297"/>
      <c r="M18" s="296"/>
      <c r="N18" s="296"/>
      <c r="O18" s="298"/>
      <c r="P18" s="298"/>
      <c r="Q18" s="300">
        <f t="shared" si="2"/>
        <v>0</v>
      </c>
      <c r="R18" s="519"/>
    </row>
    <row r="19" spans="1:18" ht="15.75" thickBot="1">
      <c r="A19" s="852"/>
      <c r="B19" s="852"/>
      <c r="C19" s="852"/>
      <c r="D19" s="520"/>
      <c r="E19" s="521"/>
      <c r="F19" s="522"/>
      <c r="G19" s="521"/>
      <c r="H19" s="523"/>
      <c r="I19" s="524"/>
      <c r="J19" s="521"/>
      <c r="K19" s="634"/>
      <c r="L19" s="525"/>
      <c r="M19" s="526"/>
      <c r="N19" s="526"/>
      <c r="O19" s="527"/>
      <c r="P19" s="527"/>
      <c r="Q19" s="528">
        <f t="shared" si="2"/>
        <v>0</v>
      </c>
      <c r="R19" s="529"/>
    </row>
  </sheetData>
  <mergeCells count="2">
    <mergeCell ref="D6:F6"/>
    <mergeCell ref="A7:C19"/>
  </mergeCells>
  <pageMargins left="0.7" right="0.7" top="0.75" bottom="0.75" header="0.3" footer="0.3"/>
  <pageSetup paperSize="9" scale="2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105</vt:i4>
      </vt:variant>
    </vt:vector>
  </HeadingPairs>
  <TitlesOfParts>
    <vt:vector size="129" baseType="lpstr">
      <vt:lpstr>Portada</vt:lpstr>
      <vt:lpstr>Analisis TDP</vt:lpstr>
      <vt:lpstr>Analisis Entel</vt:lpstr>
      <vt:lpstr>Analisis Viettel</vt:lpstr>
      <vt:lpstr>General</vt:lpstr>
      <vt:lpstr>INSTRUCCIONES</vt:lpstr>
      <vt:lpstr>Resumen</vt:lpstr>
      <vt:lpstr>BD-Inicio</vt:lpstr>
      <vt:lpstr>Capex de Sistemas</vt:lpstr>
      <vt:lpstr>Opex de Sistemas</vt:lpstr>
      <vt:lpstr>Demanda</vt:lpstr>
      <vt:lpstr>Parámetros</vt:lpstr>
      <vt:lpstr>Sistemas</vt:lpstr>
      <vt:lpstr>Opex de Recibos</vt:lpstr>
      <vt:lpstr>Hoja1</vt:lpstr>
      <vt:lpstr>Costo Recaudacion</vt:lpstr>
      <vt:lpstr>BD-Agentes</vt:lpstr>
      <vt:lpstr>BD-Comision Unitaria</vt:lpstr>
      <vt:lpstr>Entel</vt:lpstr>
      <vt:lpstr>Americatel</vt:lpstr>
      <vt:lpstr>TdP</vt:lpstr>
      <vt:lpstr>America Movil</vt:lpstr>
      <vt:lpstr>Hoja5</vt:lpstr>
      <vt:lpstr>Info_Adic_AM</vt:lpstr>
      <vt:lpstr>'Capex de Sistemas'!Área_de_impresión</vt:lpstr>
      <vt:lpstr>Demanda!Área_de_impresión</vt:lpstr>
      <vt:lpstr>'Opex de Sistemas'!Área_de_impresión</vt:lpstr>
      <vt:lpstr>Parámetros!Área_de_impresión</vt:lpstr>
      <vt:lpstr>Sistemas!Área_de_impresión</vt:lpstr>
      <vt:lpstr>C_Distribucion_FyR_D</vt:lpstr>
      <vt:lpstr>C_Distribucion_FyR_L</vt:lpstr>
      <vt:lpstr>C_Distribucion_FyR_P</vt:lpstr>
      <vt:lpstr>C_Distribucion_Total_D</vt:lpstr>
      <vt:lpstr>C_Distribucion_Total_L</vt:lpstr>
      <vt:lpstr>C_Distribucion_Total_P</vt:lpstr>
      <vt:lpstr>C_Emision_Digital</vt:lpstr>
      <vt:lpstr>C_Emision_Impresion</vt:lpstr>
      <vt:lpstr>C_Emision_Pre</vt:lpstr>
      <vt:lpstr>C_Emision_Sobres</vt:lpstr>
      <vt:lpstr>C_Emision_Total</vt:lpstr>
      <vt:lpstr>C_EmisionFyR_Digital</vt:lpstr>
      <vt:lpstr>C_EnsobradoFyR</vt:lpstr>
      <vt:lpstr>C_ImpresiónFyR</vt:lpstr>
      <vt:lpstr>C_PreformaFyR</vt:lpstr>
      <vt:lpstr>C_Recaudacion_FyR</vt:lpstr>
      <vt:lpstr>C_Recaudacion_Total</vt:lpstr>
      <vt:lpstr>Capex_Operadores</vt:lpstr>
      <vt:lpstr>Costo_Comisión_FyR</vt:lpstr>
      <vt:lpstr>Costo_Comision_Min</vt:lpstr>
      <vt:lpstr>Costo_D_Digital</vt:lpstr>
      <vt:lpstr>Costo_D_Lima</vt:lpstr>
      <vt:lpstr>Costo_D_Provincia</vt:lpstr>
      <vt:lpstr>Costo_Distribución</vt:lpstr>
      <vt:lpstr>Costo_DLima_FyR</vt:lpstr>
      <vt:lpstr>Costo_DProvincia_FyR</vt:lpstr>
      <vt:lpstr>Costo_Emision_D</vt:lpstr>
      <vt:lpstr>Costo_Ensobrado</vt:lpstr>
      <vt:lpstr>Costo_Impresion</vt:lpstr>
      <vt:lpstr>Costo_Preforma</vt:lpstr>
      <vt:lpstr>Costo_Recaudación_x_Recibo</vt:lpstr>
      <vt:lpstr>Cx_Osiptel_Cargo</vt:lpstr>
      <vt:lpstr>Cx_Osiptel_VA</vt:lpstr>
      <vt:lpstr>Cx_Osiptel_VP</vt:lpstr>
      <vt:lpstr>D_FR</vt:lpstr>
      <vt:lpstr>D_Lima</vt:lpstr>
      <vt:lpstr>D_Provincia</vt:lpstr>
      <vt:lpstr>D_Total_Recibos</vt:lpstr>
      <vt:lpstr>DLima_FyR</vt:lpstr>
      <vt:lpstr>DProvincia_FyR</vt:lpstr>
      <vt:lpstr>DTotal_FyR</vt:lpstr>
      <vt:lpstr>Entidad_Pago</vt:lpstr>
      <vt:lpstr>Factor_Anual</vt:lpstr>
      <vt:lpstr>Factor_Monto_Recaudacion</vt:lpstr>
      <vt:lpstr>Factor_Servicio_FyR</vt:lpstr>
      <vt:lpstr>Factor_Servicios_OtrosOP</vt:lpstr>
      <vt:lpstr>Hojas</vt:lpstr>
      <vt:lpstr>Hojas_FyR</vt:lpstr>
      <vt:lpstr>Hojas_Total</vt:lpstr>
      <vt:lpstr>hojas_x</vt:lpstr>
      <vt:lpstr>Hojas_x_Recibos</vt:lpstr>
      <vt:lpstr>HxRecibos_FyR</vt:lpstr>
      <vt:lpstr>HxRecibos_Total</vt:lpstr>
      <vt:lpstr>Impresion</vt:lpstr>
      <vt:lpstr>Modalidad_Pago</vt:lpstr>
      <vt:lpstr>Moneda_Distribucion</vt:lpstr>
      <vt:lpstr>Moneda_Emision_D</vt:lpstr>
      <vt:lpstr>Moneda_Impresion</vt:lpstr>
      <vt:lpstr>Moneda_Preforma</vt:lpstr>
      <vt:lpstr>Moneda_Recaudacion</vt:lpstr>
      <vt:lpstr>Moneda_Sobre</vt:lpstr>
      <vt:lpstr>Operadores_en_Competencia</vt:lpstr>
      <vt:lpstr>Ox_Operador</vt:lpstr>
      <vt:lpstr>Ox_Operadores</vt:lpstr>
      <vt:lpstr>Ox_Osiptel_Cargo</vt:lpstr>
      <vt:lpstr>Paginas_Servicio_Atribuible</vt:lpstr>
      <vt:lpstr>Porcentaje_DDigital</vt:lpstr>
      <vt:lpstr>Porcentaje_DLima</vt:lpstr>
      <vt:lpstr>Porcentaje_DProvincia</vt:lpstr>
      <vt:lpstr>Porcentaje_Recaudacion</vt:lpstr>
      <vt:lpstr>Porcentaje_Recibos_D</vt:lpstr>
      <vt:lpstr>Preforma</vt:lpstr>
      <vt:lpstr>promedio_hojasrecibo_fyr</vt:lpstr>
      <vt:lpstr>Promedio_HojasRecibos_FyR</vt:lpstr>
      <vt:lpstr>Promedio_Otros_Op</vt:lpstr>
      <vt:lpstr>Promedio_Pags_Recibo</vt:lpstr>
      <vt:lpstr>Promedio_Servicios_OtrosOp</vt:lpstr>
      <vt:lpstr>Promedio_Servicios_pRecibo</vt:lpstr>
      <vt:lpstr>PromedioM_Recibos_Imp</vt:lpstr>
      <vt:lpstr>Promedo_Hojas_Recibo</vt:lpstr>
      <vt:lpstr>R_Total_Recibos</vt:lpstr>
      <vt:lpstr>Recaudacion</vt:lpstr>
      <vt:lpstr>Recibos_a_Imiprimir_FyR</vt:lpstr>
      <vt:lpstr>Recibos_Digitales_T</vt:lpstr>
      <vt:lpstr>Recibos_FyR_Digitales</vt:lpstr>
      <vt:lpstr>Recibos_Otros_Op</vt:lpstr>
      <vt:lpstr>Recibos_Recaudados_FyR</vt:lpstr>
      <vt:lpstr>Recibos_Recaudados_Total</vt:lpstr>
      <vt:lpstr>Recibos_Totales</vt:lpstr>
      <vt:lpstr>RRecibos_FyR</vt:lpstr>
      <vt:lpstr>Servicios_n_Competencia</vt:lpstr>
      <vt:lpstr>Servicios_Prom_x_ReciboFyR</vt:lpstr>
      <vt:lpstr>Servicios_x_Recibo_Op</vt:lpstr>
      <vt:lpstr>Sobres</vt:lpstr>
      <vt:lpstr>T_Digital</vt:lpstr>
      <vt:lpstr>TC_OSIPTEL</vt:lpstr>
      <vt:lpstr>Total_Recibos_D</vt:lpstr>
      <vt:lpstr>Total_Recibos_DFyR</vt:lpstr>
      <vt:lpstr>Total_Recibos_P</vt:lpstr>
      <vt:lpstr>Valor_Presente_Osiptel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Sulca Jota</dc:creator>
  <cp:lastModifiedBy>Elmer Alejandro Rojas</cp:lastModifiedBy>
  <dcterms:created xsi:type="dcterms:W3CDTF">2016-07-11T16:42:41Z</dcterms:created>
  <dcterms:modified xsi:type="dcterms:W3CDTF">2016-11-03T23:02:51Z</dcterms:modified>
</cp:coreProperties>
</file>