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codeName="ThisWorkbook"/>
  <mc:AlternateContent xmlns:mc="http://schemas.openxmlformats.org/markup-compatibility/2006">
    <mc:Choice Requires="x15">
      <x15ac:absPath xmlns:x15ac="http://schemas.microsoft.com/office/spreadsheetml/2010/11/ac" url="D:\r\GPRC\_Trabajo Remoto\OIMR\Exp 0002-2021-CD-DPRC-MOIR-OIMR Andesat - TdP (Voz)\Proyecto de Mandato\Pre-CD\"/>
    </mc:Choice>
  </mc:AlternateContent>
  <xr:revisionPtr revIDLastSave="0" documentId="13_ncr:1_{32F39F62-E3DA-4E13-A392-429C24047CF2}" xr6:coauthVersionLast="47" xr6:coauthVersionMax="47" xr10:uidLastSave="{00000000-0000-0000-0000-000000000000}"/>
  <bookViews>
    <workbookView xWindow="-120" yWindow="-120" windowWidth="29040" windowHeight="15840" tabRatio="680" xr2:uid="{00000000-000D-0000-FFFF-FFFF00000000}"/>
  </bookViews>
  <sheets>
    <sheet name="1.Modelo" sheetId="7" r:id="rId1"/>
    <sheet name="2.Equipamiento" sheetId="9" r:id="rId2"/>
    <sheet name="3.Operación" sheetId="10" r:id="rId3"/>
    <sheet name="4.Demanda-Enlace" sheetId="8" r:id="rId4"/>
    <sheet name="5.Parametros VD" sheetId="11" r:id="rId5"/>
    <sheet name="6.Estimación de Ingresos" sheetId="13" r:id="rId6"/>
    <sheet name="7.Cargo de datos" sheetId="14" r:id="rId7"/>
  </sheets>
  <definedNames>
    <definedName name="activos">'7.Cargo de datos'!$E$5:$E$7</definedName>
    <definedName name="Asset.lifetimes">'2.Equipamiento'!$G$6:$G$18</definedName>
    <definedName name="Backhaul.rate.IP">'5.Parametros VD'!$D$35</definedName>
    <definedName name="BitPorSimbolo.16APSK">'4.Demanda-Enlace'!$C$44</definedName>
    <definedName name="BitPorSimbolo.32APSK">'4.Demanda-Enlace'!$C$43</definedName>
    <definedName name="BitPorSimbolo.8PSK">'4.Demanda-Enlace'!$C$45</definedName>
    <definedName name="Bits.per.byte">'4.Demanda-Enlace'!$C$28</definedName>
    <definedName name="Cargo.Osiptel">'1.Modelo'!$C$31</definedName>
    <definedName name="Core.rate.IP">'5.Parametros VD'!$D$36</definedName>
    <definedName name="Costo.Andesat">'1.Modelo'!$C$30</definedName>
    <definedName name="CTRL.BH.days.per.month">'4.Demanda-Enlace'!$C$24</definedName>
    <definedName name="CTRL.operator.selected">'4.Demanda-Enlace'!#REF!</definedName>
    <definedName name="CTRL.Ratio.data.in.data.BH">'4.Demanda-Enlace'!$C$25</definedName>
    <definedName name="CTRL.Ratio.voice.in.voice.BH">'4.Demanda-Enlace'!$C$34</definedName>
    <definedName name="CTRL.WACC">'2.Equipamiento'!$N$7</definedName>
    <definedName name="CTRL.WACCmensual">'2.Equipamiento'!$N$6</definedName>
    <definedName name="datosPorCelda">'4.Demanda-Enlace'!#REF!</definedName>
    <definedName name="demanda">'7.Cargo de datos'!$C$18:$D$18</definedName>
    <definedName name="Erlangs.per.channel.rate">'5.Parametros VD'!$D$7</definedName>
    <definedName name="FactorRollOff">'4.Demanda-Enlace'!$C$52</definedName>
    <definedName name="FEC2.3">'4.Demanda-Enlace'!$C$48</definedName>
    <definedName name="FEC5.6">'4.Demanda-Enlace'!$C$46</definedName>
    <definedName name="FEC9.10">'4.Demanda-Enlace'!$C$47</definedName>
    <definedName name="FechaProcesamiento">#REF!</definedName>
    <definedName name="Header.compression">'4.Demanda-Enlace'!$C$29</definedName>
    <definedName name="Header.compressionUL">'4.Demanda-Enlace'!$C$30</definedName>
    <definedName name="Investment">'7.Cargo de datos'!$E$5:$E$7</definedName>
    <definedName name="Kbits.per.Mbits">'4.Demanda-Enlace'!$C$33</definedName>
    <definedName name="MB.per.minute.AMR12.2.Backhaul">'5.Parametros VD'!$F$35</definedName>
    <definedName name="MB.per.minute.HSDPA">'5.Parametros VD'!$D$15</definedName>
    <definedName name="Network.capex.by.element">'2.Equipamiento'!$F$6:$F$18</definedName>
    <definedName name="Network.element.output.1">'7.Cargo de datos'!$C$34:$C$36</definedName>
    <definedName name="Network.services.list">'7.Cargo de datos'!$N$5:$N$6</definedName>
    <definedName name="RangoSensibilidad">#REF!</definedName>
    <definedName name="Ratio.Voz.OffNetEntrante">'4.Demanda-Enlace'!$C$37</definedName>
    <definedName name="Ratio.Voz.OffNetSaliente">'4.Demanda-Enlace'!$C$36</definedName>
    <definedName name="Ratio.Voz.OnNet">'4.Demanda-Enlace'!$C$35</definedName>
    <definedName name="RatioActividadCodec">'5.Parametros VD'!$D$64</definedName>
    <definedName name="RatioEnlace">'1.Modelo'!$F$4</definedName>
    <definedName name="Ring.Time.Per.Minute">'4.Demanda-Enlace'!#REF!</definedName>
    <definedName name="RollOff">'4.Demanda-Enlace'!$D$52</definedName>
    <definedName name="RouteingFactorsAndesat">'7.Cargo de datos'!$C$12:$D$14</definedName>
    <definedName name="seconds.per.hour">'4.Demanda-Enlace'!$C$27</definedName>
    <definedName name="seconds.per.minute">'4.Demanda-Enlace'!$C$26</definedName>
    <definedName name="Services.demand">'7.Cargo de datos'!$O$5:$O$6</definedName>
    <definedName name="Sites">'1.Modelo'!$I$8</definedName>
    <definedName name="tasaDatosHC">'4.Demanda-Enlace'!#REF!</definedName>
    <definedName name="Tipo.de.cambio.Actual">'1.Modelo'!$C$23</definedName>
    <definedName name="Tipo.de.cambio.Andesat">'1.Modelo'!$C$22</definedName>
    <definedName name="Tipo.de.cambio.AndesatNuevo">'1.Modelo'!$C$24</definedName>
    <definedName name="Total.Monthly.Costs">'7.Cargo de datos'!$C$25:$D$25</definedName>
    <definedName name="Total.Sites">'2.Equipamiento'!$N$8</definedName>
    <definedName name="Trafico">'1.Modelo'!$I$12:$I$13</definedName>
    <definedName name="TraficoTemp">'1.Modelo'!$G$15:$G$16</definedName>
    <definedName name="UMTS.channel.rate">'4.Demanda-Enlace'!$C$31</definedName>
    <definedName name="Utilisation.BSC.Core">'4.Demanda-Enlace'!$C$40</definedName>
    <definedName name="Utilisation.Core.Core">'4.Demanda-Enlace'!$C$42</definedName>
    <definedName name="Utilisation.Hub.Core">'4.Demanda-Enlace'!$C$39</definedName>
    <definedName name="Utilisation.LMA">'4.Demanda-Enlace'!$C$38</definedName>
    <definedName name="Utilisation.RNC.Core">'4.Demanda-Enlace'!$C$41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" i="7" l="1"/>
  <c r="B23" i="7" l="1"/>
  <c r="E32" i="7" l="1"/>
  <c r="C23" i="7"/>
  <c r="C27" i="9" l="1"/>
  <c r="B27" i="9"/>
  <c r="E39" i="7" l="1"/>
  <c r="C37" i="7" l="1"/>
  <c r="E37" i="7" s="1"/>
  <c r="K11" i="14"/>
  <c r="D10" i="9"/>
  <c r="D9" i="9"/>
  <c r="D8" i="9"/>
  <c r="D7" i="9"/>
  <c r="D6" i="9"/>
  <c r="D62" i="11" l="1"/>
  <c r="D61" i="11"/>
  <c r="D52" i="11"/>
  <c r="D53" i="11"/>
  <c r="D13" i="11"/>
  <c r="D6" i="11" l="1"/>
  <c r="N12" i="8" l="1"/>
  <c r="N11" i="8"/>
  <c r="C48" i="8"/>
  <c r="C47" i="8"/>
  <c r="C46" i="8"/>
  <c r="C30" i="8" l="1"/>
  <c r="C6" i="8"/>
  <c r="B6" i="13" s="1"/>
  <c r="C5" i="8"/>
  <c r="B5" i="13" l="1"/>
  <c r="D6" i="10"/>
  <c r="B24" i="9"/>
  <c r="B25" i="9"/>
  <c r="B33" i="10"/>
  <c r="C32" i="10" s="1"/>
  <c r="D10" i="10"/>
  <c r="D12" i="10"/>
  <c r="D11" i="10"/>
  <c r="D9" i="10"/>
  <c r="D8" i="10"/>
  <c r="D7" i="10"/>
  <c r="G18" i="9"/>
  <c r="C30" i="10" l="1"/>
  <c r="C31" i="10"/>
  <c r="D5" i="10" l="1"/>
  <c r="N7" i="9" l="1"/>
  <c r="O6" i="14" l="1"/>
  <c r="D18" i="14" s="1"/>
  <c r="O5" i="14"/>
  <c r="D17" i="14"/>
  <c r="C17" i="14"/>
  <c r="K4" i="14"/>
  <c r="C18" i="14" l="1"/>
  <c r="K12" i="14"/>
  <c r="K5" i="14"/>
  <c r="E62" i="8"/>
  <c r="E63" i="8" l="1"/>
  <c r="G7" i="9" l="1"/>
  <c r="C26" i="9" l="1"/>
  <c r="C28" i="9" s="1"/>
  <c r="E18" i="9"/>
  <c r="F18" i="9" s="1"/>
  <c r="E17" i="9"/>
  <c r="F17" i="9" s="1"/>
  <c r="E16" i="9"/>
  <c r="F16" i="9" s="1"/>
  <c r="C12" i="10" s="1"/>
  <c r="E12" i="10" s="1"/>
  <c r="F12" i="10" s="1"/>
  <c r="E15" i="9"/>
  <c r="F15" i="9" s="1"/>
  <c r="C11" i="10" s="1"/>
  <c r="E11" i="10" s="1"/>
  <c r="F11" i="10" s="1"/>
  <c r="E14" i="9"/>
  <c r="F14" i="9" s="1"/>
  <c r="C10" i="10" s="1"/>
  <c r="E10" i="10" s="1"/>
  <c r="F10" i="10" s="1"/>
  <c r="E12" i="9"/>
  <c r="F12" i="9" s="1"/>
  <c r="E13" i="9"/>
  <c r="F13" i="9" s="1"/>
  <c r="C9" i="10" s="1"/>
  <c r="E9" i="10" s="1"/>
  <c r="F9" i="10" s="1"/>
  <c r="E11" i="9"/>
  <c r="F11" i="9" s="1"/>
  <c r="C8" i="10" s="1"/>
  <c r="E8" i="9"/>
  <c r="F8" i="9" s="1"/>
  <c r="E9" i="9"/>
  <c r="F9" i="9" s="1"/>
  <c r="E7" i="9"/>
  <c r="F7" i="9" s="1"/>
  <c r="C6" i="10" s="1"/>
  <c r="E6" i="10" s="1"/>
  <c r="F6" i="10" s="1"/>
  <c r="E6" i="9"/>
  <c r="E10" i="9"/>
  <c r="F10" i="9" s="1"/>
  <c r="C7" i="10" s="1"/>
  <c r="B26" i="9"/>
  <c r="B28" i="9" s="1"/>
  <c r="C6" i="9" s="1"/>
  <c r="B33" i="9"/>
  <c r="D58" i="11"/>
  <c r="D59" i="11" s="1"/>
  <c r="D49" i="11"/>
  <c r="D50" i="11" s="1"/>
  <c r="D35" i="11" s="1"/>
  <c r="F35" i="11" s="1"/>
  <c r="D43" i="11"/>
  <c r="G19" i="11"/>
  <c r="G18" i="11"/>
  <c r="G17" i="11"/>
  <c r="G16" i="11"/>
  <c r="G15" i="11"/>
  <c r="G14" i="11"/>
  <c r="N6" i="9"/>
  <c r="C29" i="8"/>
  <c r="G17" i="9"/>
  <c r="G16" i="9"/>
  <c r="G14" i="9"/>
  <c r="G12" i="9"/>
  <c r="G15" i="9"/>
  <c r="G13" i="9"/>
  <c r="G11" i="9"/>
  <c r="G8" i="9"/>
  <c r="G9" i="9"/>
  <c r="G6" i="9"/>
  <c r="G10" i="9"/>
  <c r="K38" i="8"/>
  <c r="J38" i="8"/>
  <c r="K37" i="8"/>
  <c r="J37" i="8"/>
  <c r="K36" i="8"/>
  <c r="J36" i="8"/>
  <c r="K35" i="8"/>
  <c r="J35" i="8"/>
  <c r="K34" i="8"/>
  <c r="J34" i="8"/>
  <c r="J33" i="8"/>
  <c r="K33" i="8"/>
  <c r="L13" i="8"/>
  <c r="C27" i="8"/>
  <c r="J12" i="8"/>
  <c r="J11" i="8"/>
  <c r="M11" i="8" s="1"/>
  <c r="H7" i="8"/>
  <c r="I6" i="8" s="1"/>
  <c r="C13" i="8" l="1"/>
  <c r="D13" i="8"/>
  <c r="D10" i="8"/>
  <c r="E7" i="10"/>
  <c r="F7" i="10" s="1"/>
  <c r="C14" i="10"/>
  <c r="E8" i="10"/>
  <c r="F8" i="10" s="1"/>
  <c r="C15" i="10"/>
  <c r="H10" i="9"/>
  <c r="F6" i="9"/>
  <c r="D36" i="11"/>
  <c r="F36" i="11" s="1"/>
  <c r="C13" i="14"/>
  <c r="C35" i="14" s="1"/>
  <c r="G10" i="11"/>
  <c r="D12" i="11" s="1"/>
  <c r="D14" i="11" s="1"/>
  <c r="D15" i="11" s="1"/>
  <c r="D12" i="14" s="1"/>
  <c r="C34" i="14" s="1"/>
  <c r="J13" i="8"/>
  <c r="K11" i="8" s="1"/>
  <c r="H7" i="9"/>
  <c r="H14" i="9"/>
  <c r="H15" i="9"/>
  <c r="H16" i="9"/>
  <c r="H17" i="9"/>
  <c r="H9" i="9"/>
  <c r="H8" i="9"/>
  <c r="H11" i="9"/>
  <c r="H13" i="9"/>
  <c r="H18" i="9"/>
  <c r="H12" i="9"/>
  <c r="I5" i="8"/>
  <c r="C16" i="7"/>
  <c r="C11" i="7"/>
  <c r="D6" i="7" s="1"/>
  <c r="D11" i="8" l="1"/>
  <c r="D12" i="8" s="1"/>
  <c r="D6" i="14"/>
  <c r="D7" i="14"/>
  <c r="C10" i="8"/>
  <c r="C5" i="10"/>
  <c r="C13" i="10" s="1"/>
  <c r="F21" i="9"/>
  <c r="H6" i="9"/>
  <c r="C14" i="8"/>
  <c r="D14" i="8"/>
  <c r="D27" i="11"/>
  <c r="K12" i="8"/>
  <c r="E6" i="7"/>
  <c r="D8" i="7"/>
  <c r="D9" i="7"/>
  <c r="D4" i="7"/>
  <c r="D7" i="7"/>
  <c r="D10" i="7"/>
  <c r="D5" i="7"/>
  <c r="D15" i="8" l="1"/>
  <c r="D16" i="8" s="1"/>
  <c r="C11" i="8"/>
  <c r="C12" i="8" s="1"/>
  <c r="C15" i="8" s="1"/>
  <c r="C16" i="8" s="1"/>
  <c r="H19" i="9"/>
  <c r="E5" i="7"/>
  <c r="D5" i="14"/>
  <c r="D8" i="14" s="1"/>
  <c r="E30" i="7"/>
  <c r="E5" i="10"/>
  <c r="F5" i="10" s="1"/>
  <c r="F13" i="10" s="1"/>
  <c r="D31" i="11"/>
  <c r="C14" i="14"/>
  <c r="C36" i="14" s="1"/>
  <c r="D18" i="8" l="1"/>
  <c r="C18" i="8"/>
  <c r="C19" i="8" s="1"/>
  <c r="H20" i="9"/>
  <c r="B8" i="13"/>
  <c r="G5" i="10"/>
  <c r="D19" i="8" l="1"/>
  <c r="D20" i="8" s="1"/>
  <c r="C20" i="8"/>
  <c r="D17" i="8"/>
  <c r="C17" i="8"/>
  <c r="C14" i="13"/>
  <c r="D14" i="13" s="1"/>
  <c r="E10" i="7" s="1"/>
  <c r="C12" i="13"/>
  <c r="D12" i="13" s="1"/>
  <c r="E8" i="7" s="1"/>
  <c r="C13" i="13"/>
  <c r="D13" i="13" s="1"/>
  <c r="E9" i="7" s="1"/>
  <c r="G6" i="10"/>
  <c r="O12" i="14" s="1"/>
  <c r="E7" i="7"/>
  <c r="G11" i="10"/>
  <c r="G10" i="10"/>
  <c r="G12" i="10"/>
  <c r="G8" i="10"/>
  <c r="G7" i="10"/>
  <c r="G9" i="10"/>
  <c r="O14" i="14" s="1"/>
  <c r="O13" i="14" l="1"/>
  <c r="E20" i="8"/>
  <c r="E4" i="7" l="1"/>
  <c r="E11" i="7" s="1"/>
  <c r="C6" i="14" l="1"/>
  <c r="F8" i="7"/>
  <c r="F9" i="7"/>
  <c r="F7" i="7"/>
  <c r="F10" i="7"/>
  <c r="F6" i="7"/>
  <c r="F5" i="7"/>
  <c r="F4" i="7"/>
  <c r="C7" i="14"/>
  <c r="E7" i="14" s="1"/>
  <c r="E6" i="14" l="1"/>
  <c r="C5" i="14"/>
  <c r="E5" i="14" l="1"/>
  <c r="F7" i="14" s="1"/>
  <c r="F8" i="14" s="1"/>
  <c r="C8" i="14"/>
  <c r="C29" i="14" l="1" a="1"/>
  <c r="C29" i="14" s="1"/>
  <c r="C22" i="14" s="1" a="1"/>
  <c r="C22" i="14" s="1"/>
  <c r="E22" i="14" s="1"/>
  <c r="G7" i="14"/>
  <c r="G5" i="14"/>
  <c r="G6" i="14"/>
  <c r="C25" i="14" l="1"/>
  <c r="K13" i="14" s="1"/>
  <c r="K16" i="14" s="1"/>
  <c r="E24" i="14"/>
  <c r="E23" i="14"/>
  <c r="D25" i="14"/>
  <c r="K6" i="14" s="1"/>
  <c r="K9" i="14" s="1"/>
  <c r="F24" i="14" l="1"/>
  <c r="E25" i="14"/>
  <c r="K7" i="14"/>
  <c r="D20" i="7" s="1"/>
  <c r="C31" i="7" s="1"/>
  <c r="E31" i="7" s="1"/>
  <c r="K14" i="14"/>
  <c r="D21" i="7" s="1"/>
  <c r="C38" i="7" s="1"/>
  <c r="E38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<sst xmlns="http://schemas.openxmlformats.org/spreadsheetml/2006/main" count="541" uniqueCount="334">
  <si>
    <t>MB</t>
  </si>
  <si>
    <t>Kbps</t>
  </si>
  <si>
    <t>Equipos del Core - Telepuerto</t>
  </si>
  <si>
    <t>OSIPTEL</t>
  </si>
  <si>
    <t>Costo total</t>
  </si>
  <si>
    <t>Id</t>
  </si>
  <si>
    <t>Detalle</t>
  </si>
  <si>
    <t>ANDESAT</t>
  </si>
  <si>
    <t>Sites</t>
  </si>
  <si>
    <t>Ratio ANDESAT</t>
  </si>
  <si>
    <t>Ratio OSIPTEL</t>
  </si>
  <si>
    <t>Tráfico</t>
  </si>
  <si>
    <t>Voz (min)</t>
  </si>
  <si>
    <t>Datos (MB)</t>
  </si>
  <si>
    <t>Tráfico Total (MB)</t>
  </si>
  <si>
    <t>Considera 1 min voz = 1 MByte</t>
  </si>
  <si>
    <t xml:space="preserve">Encabezado IPv4 </t>
  </si>
  <si>
    <t>Bytes</t>
  </si>
  <si>
    <t>Header RTP 12</t>
  </si>
  <si>
    <t>Header UDP</t>
  </si>
  <si>
    <t>Header</t>
  </si>
  <si>
    <t>Bits</t>
  </si>
  <si>
    <t>Payload</t>
  </si>
  <si>
    <t>Cada</t>
  </si>
  <si>
    <t>ms</t>
  </si>
  <si>
    <t>Total</t>
  </si>
  <si>
    <t>RNC</t>
  </si>
  <si>
    <t>EMS</t>
  </si>
  <si>
    <t>Ancho de banda satelital</t>
  </si>
  <si>
    <t>Inversion mensual</t>
  </si>
  <si>
    <t>Core</t>
  </si>
  <si>
    <t>Ratios</t>
  </si>
  <si>
    <t>Años</t>
  </si>
  <si>
    <t>CTRL.WACC</t>
  </si>
  <si>
    <t>Asset.lifetimes</t>
  </si>
  <si>
    <t>Network.capex.by.element</t>
  </si>
  <si>
    <t>RAN</t>
  </si>
  <si>
    <t>Antena 6,1 Mts</t>
  </si>
  <si>
    <t>Hub
Idirect
Equipos y
Licencias</t>
  </si>
  <si>
    <t>Amplificadores</t>
  </si>
  <si>
    <t>Firewall</t>
  </si>
  <si>
    <t>Capacitación</t>
  </si>
  <si>
    <t>Instalación</t>
  </si>
  <si>
    <t>CTRL.WACCmensual</t>
  </si>
  <si>
    <t>Transporte</t>
  </si>
  <si>
    <t>Elemento</t>
  </si>
  <si>
    <t>Etapa de Red</t>
  </si>
  <si>
    <t>Inversión</t>
  </si>
  <si>
    <t>Minutos</t>
  </si>
  <si>
    <t>DL</t>
  </si>
  <si>
    <t>UL</t>
  </si>
  <si>
    <t>Tráfico Promedio en gráfico</t>
  </si>
  <si>
    <t>Downlik (Mbps)</t>
  </si>
  <si>
    <t>Uplink (Mbps)</t>
  </si>
  <si>
    <t>Total (Mbps)</t>
  </si>
  <si>
    <t>Enlace satelital</t>
  </si>
  <si>
    <t>Bajada</t>
  </si>
  <si>
    <t>Cantidad (MHz)</t>
  </si>
  <si>
    <t>Subida</t>
  </si>
  <si>
    <t>Eficiencia espectral promedio [bps/Htz]</t>
  </si>
  <si>
    <t>Ancho de banda (Mbps)</t>
  </si>
  <si>
    <t>Parámetros generales</t>
  </si>
  <si>
    <t>Proporción del tráfico diario durante la hora cargada de datos</t>
  </si>
  <si>
    <t>CTRL.BH.days.per.month</t>
  </si>
  <si>
    <t>Tasa de canal UMTS R99, Mbit/s</t>
  </si>
  <si>
    <t>UMTS.channel.rate</t>
  </si>
  <si>
    <t>Sol.per.USD</t>
  </si>
  <si>
    <t>HSDPA</t>
  </si>
  <si>
    <t>MB.per.minute.HSDPA</t>
  </si>
  <si>
    <t>Proporción de tráfico en el downlink</t>
  </si>
  <si>
    <t>Overheads IP adicionales</t>
  </si>
  <si>
    <t>Tasa de canal de datos (Mbit/s)</t>
  </si>
  <si>
    <t>1 Mbyte de datos de usuario GPRS = Mbits de demanda IP en el downlink</t>
  </si>
  <si>
    <t>Un minuto de canal puede llevar Mbits de datos IP</t>
  </si>
  <si>
    <t>Factor de conversión de MB a minuto</t>
  </si>
  <si>
    <t>MByte/min</t>
  </si>
  <si>
    <t>Máxima tasa HSPA en la red</t>
  </si>
  <si>
    <t>Tasa efectiva por canal HSPA</t>
  </si>
  <si>
    <t>Bits.per.byte</t>
  </si>
  <si>
    <t>seconds.per.minute</t>
  </si>
  <si>
    <t>Tasa por CE, Mbit/s</t>
  </si>
  <si>
    <t>seconds.per.hour</t>
  </si>
  <si>
    <t>Tasa de transmisión promedio en HC (Mbps)</t>
  </si>
  <si>
    <t>Ratio de uso del enlace</t>
  </si>
  <si>
    <t>Header.compression</t>
  </si>
  <si>
    <t>CTRL.Ratio.data.in.data.BH</t>
  </si>
  <si>
    <t>Ratio</t>
  </si>
  <si>
    <t>Segundos por minuto</t>
  </si>
  <si>
    <t>Segundos por hora</t>
  </si>
  <si>
    <t>Tráfico en enlace satelital</t>
  </si>
  <si>
    <t>Vida Útil</t>
  </si>
  <si>
    <t>Alquiler mensual (US$)</t>
  </si>
  <si>
    <t>Inversión asignada</t>
  </si>
  <si>
    <t>Total.Sites</t>
  </si>
  <si>
    <t>Tipo de cambio a la fecha de inversión</t>
  </si>
  <si>
    <t>Tráfico cursado Nov-2020</t>
  </si>
  <si>
    <t>Mes</t>
  </si>
  <si>
    <t>Control</t>
  </si>
  <si>
    <t>Vida útil equipo RAN-Core</t>
  </si>
  <si>
    <t>Vida útil software, computo</t>
  </si>
  <si>
    <t>https://www.sbs.gob.pe/app/pp/sistip_portal/paginas/publicacion/tipocambiopromedio.aspx</t>
  </si>
  <si>
    <t>Costo USD/MB</t>
  </si>
  <si>
    <t>Ingreso Nov 2020 estimado</t>
  </si>
  <si>
    <t>Aporte Fitel</t>
  </si>
  <si>
    <t>Aporte MTC</t>
  </si>
  <si>
    <t>Aporte Osiptel</t>
  </si>
  <si>
    <t>Cargo Disponible</t>
  </si>
  <si>
    <t>Tipo.de.cambio.Actual</t>
  </si>
  <si>
    <t>Tipo.de.cambio.Andesat</t>
  </si>
  <si>
    <t>Costo.Andesat</t>
  </si>
  <si>
    <t>Cargo.Voz.Acordado</t>
  </si>
  <si>
    <t>Porcentaje</t>
  </si>
  <si>
    <t>Tipo de Aporte</t>
  </si>
  <si>
    <t>Aporte (S/)</t>
  </si>
  <si>
    <t>Aporte (USD)</t>
  </si>
  <si>
    <t>T.C. Andesat (a la fecha de inversión)</t>
  </si>
  <si>
    <t>Cargo.Osiptel</t>
  </si>
  <si>
    <t>Cargo.Contrato</t>
  </si>
  <si>
    <t>Cargo.TdP-Referencia Mayutel</t>
  </si>
  <si>
    <t>1 CE uso para voz: 1 minuto</t>
  </si>
  <si>
    <t>1 CE uso para datos HSDPA: 2.208 MB en 1 min</t>
  </si>
  <si>
    <t>Mbytes por minuto</t>
  </si>
  <si>
    <t>Kbits.per.Mbits</t>
  </si>
  <si>
    <t>Cantidad de Kbits en un Mbit</t>
  </si>
  <si>
    <t>MB.per.minute.AMR12.2.Core</t>
  </si>
  <si>
    <t>MB.per.minute.AMR12.2.Backhaul</t>
  </si>
  <si>
    <t>Tráfico RAN</t>
  </si>
  <si>
    <t>Equivalencia</t>
  </si>
  <si>
    <t>Tráfico Core</t>
  </si>
  <si>
    <t>Tasa de canal de voz IP en el core (Kbps)</t>
  </si>
  <si>
    <t>Tasa AMR-12.2</t>
  </si>
  <si>
    <t>Compresión de cabecera (ROHC)</t>
  </si>
  <si>
    <t xml:space="preserve">Códec AMR 12.2 - En actividad </t>
  </si>
  <si>
    <t>Intervalo</t>
  </si>
  <si>
    <t>AMR 12.2 en silencios</t>
  </si>
  <si>
    <t>Ratio core-ON</t>
  </si>
  <si>
    <t>Ratio core-OFF</t>
  </si>
  <si>
    <t>Backhaul.rate.IP</t>
  </si>
  <si>
    <t>Core.rate.IP</t>
  </si>
  <si>
    <t>Uso para voz: 1 minuto</t>
  </si>
  <si>
    <t>Uso de datos para trasmitir 1 minuto de voz paquetizada en core</t>
  </si>
  <si>
    <t>Erlangs por CE</t>
  </si>
  <si>
    <t>Erlangs.per.channel.rate</t>
  </si>
  <si>
    <t>Conversión de datos (MB) a minutos Aire HSDPA</t>
  </si>
  <si>
    <t>Cabeceras de protocolo L3</t>
  </si>
  <si>
    <t>Tasa de transmisión</t>
  </si>
  <si>
    <t>WACC Viettel, en dólares, antes de impuestos</t>
  </si>
  <si>
    <t>WACC</t>
  </si>
  <si>
    <t>Parámetros evaluados</t>
  </si>
  <si>
    <t>Total con 1 bit de relleno</t>
  </si>
  <si>
    <t>Ratio de actividad del códec</t>
  </si>
  <si>
    <t>Contrato considera:</t>
  </si>
  <si>
    <t>BTS UMTS850  O1</t>
  </si>
  <si>
    <t>Energia</t>
  </si>
  <si>
    <t>Costo unitario</t>
  </si>
  <si>
    <t>Cantidad a distribuir</t>
  </si>
  <si>
    <t>Facturas presentadas:</t>
  </si>
  <si>
    <t>F001-00001005</t>
  </si>
  <si>
    <t>F001-00001064</t>
  </si>
  <si>
    <t>UMTS BS8922 1900 S1</t>
  </si>
  <si>
    <t>Estación Base</t>
  </si>
  <si>
    <t>Variación Voz</t>
  </si>
  <si>
    <t>Variación Datos</t>
  </si>
  <si>
    <t>Aporte FITEL (1% de ingresos)</t>
  </si>
  <si>
    <t>Aporte OSIPTEL (0.5% de ingresos)</t>
  </si>
  <si>
    <t>Aporte MTC (0.5% de ingresos)</t>
  </si>
  <si>
    <t>Equipos del site</t>
  </si>
  <si>
    <t>Andesat remite facturas por un monto menor, sin embargo se considera los valores especificados en su contrato con el proveedor ZTE.</t>
  </si>
  <si>
    <t>Falta el tráfico de voz</t>
  </si>
  <si>
    <t>Tráfico de datos cursado (MBytes)</t>
  </si>
  <si>
    <t>Tráfico de datos optimizado en enlace satelital (MBytes)</t>
  </si>
  <si>
    <t>Tráfico de voz saliente - entrante  (MBytes)</t>
  </si>
  <si>
    <t>Tráfco de datos en la hora cargada (MBytes)</t>
  </si>
  <si>
    <t>Tráfco de voz en la hora cargada (MBytes)</t>
  </si>
  <si>
    <t>Tráfico voz y datos en la hora cargada (MBytes)</t>
  </si>
  <si>
    <t>Proporción del tráfico diario durante la hora cargada de voz</t>
  </si>
  <si>
    <t>Ratio voz on net</t>
  </si>
  <si>
    <t>Ratio voz off net saliente</t>
  </si>
  <si>
    <t>Ratio voz off net entrante</t>
  </si>
  <si>
    <t>Ratio.Voz.OnNet</t>
  </si>
  <si>
    <t>Ratio.Voz.OffNetSaliente</t>
  </si>
  <si>
    <t>Ratio.Voz.OffNetEntrante</t>
  </si>
  <si>
    <t>Intentos de llamada por llamada exitosa</t>
  </si>
  <si>
    <t>Radio Erlangs por Erlang</t>
  </si>
  <si>
    <t>Tiempo de timbrado por minuto</t>
  </si>
  <si>
    <t>Duración media de las llamadas (minutos)</t>
  </si>
  <si>
    <t>Tráfico de voz on-net</t>
  </si>
  <si>
    <t>Tráfico de voz saliente a móvil</t>
  </si>
  <si>
    <t>CTRL.Ratio.voice.in.voice.BH</t>
  </si>
  <si>
    <t>Factor de tiempo de timbrado por intento de llamada (7/60)</t>
  </si>
  <si>
    <t>Cargo TELEFÓNICA</t>
  </si>
  <si>
    <t>Cargo OSIPTEL</t>
  </si>
  <si>
    <t>Voz</t>
  </si>
  <si>
    <t>Datos</t>
  </si>
  <si>
    <t>Demanda</t>
  </si>
  <si>
    <t>min</t>
  </si>
  <si>
    <t>Network.element.output.1</t>
  </si>
  <si>
    <t>activos</t>
  </si>
  <si>
    <t>demanda</t>
  </si>
  <si>
    <t>RouteingFactorsAndesat</t>
  </si>
  <si>
    <t>Total.Monthly.Costs</t>
  </si>
  <si>
    <t>Equipos</t>
  </si>
  <si>
    <t>Inversion Mensual</t>
  </si>
  <si>
    <t>Demanda de los servicios</t>
  </si>
  <si>
    <t>Voz (Min)</t>
  </si>
  <si>
    <t>Servicios</t>
  </si>
  <si>
    <t>Network.services.list</t>
  </si>
  <si>
    <t>Services.demand</t>
  </si>
  <si>
    <t>Cargo del servicio</t>
  </si>
  <si>
    <t>Costo total del servicio (US$)</t>
  </si>
  <si>
    <t>Distribución Activos/Network.element.output</t>
  </si>
  <si>
    <t>Cargo del servicio de datos</t>
  </si>
  <si>
    <t>Soles por MB</t>
  </si>
  <si>
    <t>Routeing factors * Service demand</t>
  </si>
  <si>
    <t>Routeing Factors</t>
  </si>
  <si>
    <t>Valor mensualizado</t>
  </si>
  <si>
    <t>Costo operativo</t>
  </si>
  <si>
    <t>Equipo Celular</t>
  </si>
  <si>
    <t>Optimizador Trafico</t>
  </si>
  <si>
    <t>Sistema Satelital</t>
  </si>
  <si>
    <t>Sistema Satelital HUB</t>
  </si>
  <si>
    <t>Salto MW core a core</t>
  </si>
  <si>
    <t>Estación base Single RAN - macro</t>
  </si>
  <si>
    <t>Equipamiento BTS/NodeB/eNodeB</t>
  </si>
  <si>
    <t>Estación base Single RAN - micro</t>
  </si>
  <si>
    <t>Nombre del activo</t>
  </si>
  <si>
    <t>Categoría de costos</t>
  </si>
  <si>
    <t>BSC/RNC switches</t>
  </si>
  <si>
    <t>Microondas</t>
  </si>
  <si>
    <t>Network switches</t>
  </si>
  <si>
    <t>Validacion RAN</t>
  </si>
  <si>
    <t>Validacion Core</t>
  </si>
  <si>
    <t>Network software</t>
  </si>
  <si>
    <t>MSS software</t>
  </si>
  <si>
    <t>MSS</t>
  </si>
  <si>
    <t>% de inversión</t>
  </si>
  <si>
    <t>OPEX Anual</t>
  </si>
  <si>
    <t>Equipo Celular Instalado</t>
  </si>
  <si>
    <t>BBU tarjeta 3G en estación base Single RAN</t>
  </si>
  <si>
    <t>TRX, portadoras, CK, HSPA, etc.</t>
  </si>
  <si>
    <t>BBU</t>
  </si>
  <si>
    <t>Resto</t>
  </si>
  <si>
    <t>Elementos de estación base ANDESAT</t>
  </si>
  <si>
    <t>Tráfico downlink - uplink</t>
  </si>
  <si>
    <t>Enlaces LMA, en Mbit/s</t>
  </si>
  <si>
    <t>Utilisation.LMA</t>
  </si>
  <si>
    <t>Transmisión hub-core, en Mbit/s</t>
  </si>
  <si>
    <t>Utilisation.Hub.Core</t>
  </si>
  <si>
    <t>Transmisión BSC-core, en Mbit/s</t>
  </si>
  <si>
    <t>Utilisation.BSC.Core</t>
  </si>
  <si>
    <t>Transmisión RNC-core, en Mbit/s</t>
  </si>
  <si>
    <t>Utilisation.RNC.Core</t>
  </si>
  <si>
    <t>Transmisión core-core, en Mbit/s</t>
  </si>
  <si>
    <t>Utilisation.Core.Core</t>
  </si>
  <si>
    <t>Operación mensual</t>
  </si>
  <si>
    <t>Hub Idirect - Equipos y Licencias - Instalado</t>
  </si>
  <si>
    <t>Resumen</t>
  </si>
  <si>
    <t>Equipamiento</t>
  </si>
  <si>
    <t>Operación</t>
  </si>
  <si>
    <t>Demanda - Enlace Satelital</t>
  </si>
  <si>
    <t>Parámetros voz - datos</t>
  </si>
  <si>
    <t>Estimación de Ingresos</t>
  </si>
  <si>
    <t>Volumen</t>
  </si>
  <si>
    <t>Antena Satelital Estación base</t>
  </si>
  <si>
    <t>Validacion Transporte</t>
  </si>
  <si>
    <t>Distribución de Costos horizontales de operación</t>
  </si>
  <si>
    <t>Equipo Satelital BTS Estación Base</t>
  </si>
  <si>
    <t>Red</t>
  </si>
  <si>
    <t>Tasa de canal de voz IP en el Transporte (Kbps)</t>
  </si>
  <si>
    <t>Uso de datos para trasmitir 1 minuto de voz paquetizada en Transporte</t>
  </si>
  <si>
    <t>Ratio Transporte-OFF</t>
  </si>
  <si>
    <t>Tráfico Transporte (satelital)</t>
  </si>
  <si>
    <t>Ratio Transporte-ON</t>
  </si>
  <si>
    <t>Ratio por etapa de red</t>
  </si>
  <si>
    <t>Variación respecto al Cargo de la Etapa 1</t>
  </si>
  <si>
    <t xml:space="preserve"> --- </t>
  </si>
  <si>
    <t>RNC: 1600</t>
  </si>
  <si>
    <t>Número de días cargados por mes</t>
  </si>
  <si>
    <t>Fuente: ANDESAT</t>
  </si>
  <si>
    <t>RatioEnlace</t>
  </si>
  <si>
    <t>Ratio de optimización de tráfico UL</t>
  </si>
  <si>
    <t>Ratio de optimización de tráfico DL</t>
  </si>
  <si>
    <t>Header.compressionUL</t>
  </si>
  <si>
    <t>Requerido (Mbps)</t>
  </si>
  <si>
    <t>Bits por símbolo en Modulación UL 32-APSK</t>
  </si>
  <si>
    <t>Bits por símbolo en Modulación DL 16-APSK</t>
  </si>
  <si>
    <t>Eficiencia Espectral 16-APSK</t>
  </si>
  <si>
    <t>Eficiencia Espectral 32-APSK</t>
  </si>
  <si>
    <t>FEC 5/6</t>
  </si>
  <si>
    <t>FEC 9/10</t>
  </si>
  <si>
    <t>Roll Off</t>
  </si>
  <si>
    <t>FactorRollOff</t>
  </si>
  <si>
    <t>Requerido (MHz)</t>
  </si>
  <si>
    <t>FEC9.10</t>
  </si>
  <si>
    <t>FEC5.6</t>
  </si>
  <si>
    <t>BitPorSimbolo.16APSK</t>
  </si>
  <si>
    <t>BitPorSimbolo.32APSK</t>
  </si>
  <si>
    <t>Costo requerido por espectro</t>
  </si>
  <si>
    <t>Eficiencia Espectral 8-PSK</t>
  </si>
  <si>
    <t>Bits por símbolo en Modulación 8-PSK</t>
  </si>
  <si>
    <t>FEC 2/3</t>
  </si>
  <si>
    <t>FEC2.3</t>
  </si>
  <si>
    <t>BitPorSimbolo.8PSK</t>
  </si>
  <si>
    <t xml:space="preserve">Costo unitario US$ por Mbps </t>
  </si>
  <si>
    <t>Costo unitario US$ por MHz</t>
  </si>
  <si>
    <t>Fuente: OSIPTEL</t>
  </si>
  <si>
    <t>Fuente: https://www.etsi.org/deliver/etsi_en/302300_302399/302307/01.02.01_60/en_302307v010201p.pdf</t>
  </si>
  <si>
    <t>Mbits</t>
  </si>
  <si>
    <t>Fuente: https://www.academia.edu/26403027/Accurate_resource_estimation_for_homogeneous_VoIP_aggregated_traffic</t>
  </si>
  <si>
    <t>RatioActividadCodec</t>
  </si>
  <si>
    <t>Tráfico cursado</t>
  </si>
  <si>
    <t>Fuente: Resolución N°196-2020-CD/OSIPTEL</t>
  </si>
  <si>
    <t>Soles por Minuto</t>
  </si>
  <si>
    <t>Tráfico de datos (MB) - Mayo 2021</t>
  </si>
  <si>
    <t>Tráfico de voz (Minutos) - Mayo 2021</t>
  </si>
  <si>
    <t>Costo USD/Minuto</t>
  </si>
  <si>
    <t>Tipo.de.cambio.AndesatNuevo</t>
  </si>
  <si>
    <t>Cargo ANDESAT</t>
  </si>
  <si>
    <t xml:space="preserve">Cargo de Datos y Cargo de Voz </t>
  </si>
  <si>
    <t>Cargo del servicio de voz</t>
  </si>
  <si>
    <t>Cargo de Datos</t>
  </si>
  <si>
    <t>Valor (Soles/ MB)</t>
  </si>
  <si>
    <t xml:space="preserve">Cargo Voz </t>
  </si>
  <si>
    <t>Valor (Soles/ Minuto)</t>
  </si>
  <si>
    <t>Tipo.de.Cambio</t>
  </si>
  <si>
    <t>Tipo de Cambio (TC) Calculado</t>
  </si>
  <si>
    <t>SBS al 22.02.2021</t>
  </si>
  <si>
    <t>TraficoDatos</t>
  </si>
  <si>
    <t>TraficoVoz</t>
  </si>
  <si>
    <t>Fuente: TELEFÓNICA</t>
  </si>
  <si>
    <t>Contrato-Etapa 2. Hasta el 4.set.2021</t>
  </si>
  <si>
    <t>Contrato-Etapa 1. Hasta el 4.Set.2020</t>
  </si>
  <si>
    <t>T.C. Andesat al 24.08.2021</t>
  </si>
  <si>
    <t>TC calculado para el Primer Periodo Semestral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</si>
</sst>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4" formatCode="_-&quot;S/&quot;* #,##0.00_-;\-&quot;S/&quot;* #,##0.00_-;_-&quot;S/&quot;* &quot;-&quot;??_-;_-@_-"/>
    <numFmt numFmtId="43" formatCode="_-* #,##0.00_-;\-* #,##0.00_-;_-* &quot;-&quot;??_-;_-@_-"/>
    <numFmt numFmtId="164" formatCode="_-[$$-409]* #,##0.00_ ;_-[$$-409]* \-#,##0.00\ ;_-[$$-409]* &quot;-&quot;??_ ;_-@_ "/>
    <numFmt numFmtId="165" formatCode="_-[$$-540A]* #,##0.00_ ;_-[$$-540A]* \-#,##0.00\ ;_-[$$-540A]* &quot;-&quot;??_ ;_-@_ "/>
    <numFmt numFmtId="166" formatCode="_-[$$-540A]* #,##0.0000000_ ;_-[$$-540A]* \-#,##0.0000000\ ;_-[$$-540A]* &quot;-&quot;??_ ;_-@_ "/>
    <numFmt numFmtId="167" formatCode="_-[$S/-280A]* #,##0.00_-;\-[$S/-280A]* #,##0.00_-;_-[$S/-280A]* &quot;-&quot;??_-;_-@_-"/>
    <numFmt numFmtId="168" formatCode="_-[$S/-280A]* #,##0.00000_-;\-[$S/-280A]* #,##0.00000_-;_-[$S/-280A]* &quot;-&quot;??_-;_-@_-"/>
    <numFmt numFmtId="169" formatCode="0.000"/>
    <numFmt numFmtId="170" formatCode="0.0%"/>
    <numFmt numFmtId="171" formatCode="_ * #,##0_ ;_ * \-#,##0_ ;_ * &quot;-&quot;??_ ;_ @_ "/>
    <numFmt numFmtId="172" formatCode="#,##0.00_ ;\-#,##0.00\ "/>
    <numFmt numFmtId="173" formatCode="#,##0_);[Red]\-#,##0_);&quot;-&quot;?_);@_)"/>
    <numFmt numFmtId="174" formatCode="#,##0%;[Red]\-#,##0%;&quot;-&quot;\%;@_)"/>
    <numFmt numFmtId="175" formatCode="#,##0.0%;[Red]\-#,##0.0%;&quot;-&quot;\%;@_)"/>
    <numFmt numFmtId="176" formatCode="#,##0_);[Red]\-#,##0_);0_);@_)"/>
    <numFmt numFmtId="177" formatCode="0.0%;[Red]\-0.0%"/>
    <numFmt numFmtId="178" formatCode="#,##0.00_);[Red]\-#,##0.00_);&quot;-&quot;?_);@_)"/>
    <numFmt numFmtId="179" formatCode="#,##0.000;[Red]\-#,##0.000"/>
    <numFmt numFmtId="180" formatCode="#,##0.0_);[Red]\-#,##0.0_);0.0_);@_)"/>
    <numFmt numFmtId="181" formatCode="#,##0.00_);[Red]\-#,##0.00_);0.00_);@_)"/>
    <numFmt numFmtId="182" formatCode="#,##0.000_);[Red]\-#,##0.000_);0.000_);@_)"/>
    <numFmt numFmtId="183" formatCode="0.0"/>
    <numFmt numFmtId="184" formatCode="#,##0_ ;\-#,##0\ "/>
    <numFmt numFmtId="185" formatCode="_ * #,##0.000_ ;_ * \-#,##0.000_ ;_ * &quot;-&quot;??_ ;_ @_ "/>
    <numFmt numFmtId="186" formatCode="&quot;S/&quot;#,##0.00"/>
    <numFmt numFmtId="187" formatCode="_-* #,##0_-;\-* #,##0_-;_-* &quot;-&quot;??_-;_-@_-"/>
    <numFmt numFmtId="188" formatCode="#,##0.00%;[Red]\-#,##0.00%;&quot;-&quot;\%;@_)"/>
    <numFmt numFmtId="189" formatCode="#,##0.00_);[Red]\-#,##0.00_);\-_);@_)"/>
    <numFmt numFmtId="190" formatCode="#,###_);[Red]\-#,###_);\-_);@_)"/>
    <numFmt numFmtId="191" formatCode="_-[$$-409]* #,##0.00000_ ;_-[$$-409]* \-#,##0.00000\ ;_-[$$-409]* &quot;-&quot;??_ ;_-@_ "/>
    <numFmt numFmtId="192" formatCode="_-[$$-409]* #,##0_ ;_-[$$-409]* \-#,##0\ ;_-[$$-409]* &quot;-&quot;??_ ;_-@_ "/>
    <numFmt numFmtId="193" formatCode="0.000000"/>
    <numFmt numFmtId="194" formatCode="#,##0.000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i/>
      <sz val="9"/>
      <color rgb="FFC41230"/>
      <name val="Arial"/>
      <family val="2"/>
    </font>
    <font>
      <b/>
      <sz val="9"/>
      <color rgb="FFFFFFFF"/>
      <name val="Arial"/>
      <family val="2"/>
    </font>
    <font>
      <sz val="9"/>
      <color rgb="FFFF000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i/>
      <sz val="11"/>
      <name val="Arial"/>
      <family val="2"/>
    </font>
    <font>
      <i/>
      <sz val="11"/>
      <color rgb="FFC00000"/>
      <name val="Arial"/>
      <family val="2"/>
    </font>
    <font>
      <i/>
      <sz val="10"/>
      <color rgb="FFC00000"/>
      <name val="Arial"/>
      <family val="2"/>
    </font>
    <font>
      <i/>
      <sz val="9"/>
      <color rgb="FFC00000"/>
      <name val="Arial"/>
      <family val="2"/>
    </font>
    <font>
      <b/>
      <sz val="11"/>
      <color rgb="FFFF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u/>
      <sz val="11"/>
      <color theme="10"/>
      <name val="Arial"/>
      <family val="2"/>
    </font>
    <font>
      <sz val="9"/>
      <color rgb="FFC00000"/>
      <name val="Arial"/>
      <family val="2"/>
    </font>
    <font>
      <sz val="9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i/>
      <sz val="10"/>
      <color rgb="FFC41230"/>
      <name val="Arial"/>
      <family val="2"/>
    </font>
    <font>
      <sz val="16"/>
      <color theme="1"/>
      <name val="Arial"/>
      <family val="2"/>
    </font>
    <font>
      <sz val="9"/>
      <color theme="4"/>
      <name val="Arial"/>
      <family val="2"/>
    </font>
    <font>
      <b/>
      <sz val="16"/>
      <color theme="1"/>
      <name val="Arial"/>
      <family val="2"/>
    </font>
    <font>
      <b/>
      <sz val="16"/>
      <color theme="0"/>
      <name val="Arial"/>
      <family val="2"/>
    </font>
    <font>
      <sz val="8"/>
      <color theme="1"/>
      <name val="Arial"/>
      <family val="2"/>
    </font>
    <font>
      <sz val="11"/>
      <color rgb="FFFF0000"/>
      <name val="Arial"/>
      <family val="2"/>
    </font>
    <font>
      <sz val="11"/>
      <color theme="0" tint="-0.14999847407452621"/>
      <name val="Arial"/>
      <family val="2"/>
    </font>
    <font>
      <i/>
      <sz val="8"/>
      <color rgb="FF3399FF"/>
      <name val="Arial"/>
      <family val="2"/>
    </font>
    <font>
      <i/>
      <sz val="8"/>
      <color rgb="FFC41230"/>
      <name val="Arial"/>
      <family val="2"/>
    </font>
    <font>
      <i/>
      <sz val="8"/>
      <color rgb="FFC00000"/>
      <name val="Arial"/>
      <family val="2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sz val="16"/>
      <color rgb="FFFF0000"/>
      <name val="Arial"/>
      <family val="2"/>
    </font>
    <font>
      <b/>
      <sz val="16"/>
      <color rgb="FFFF0000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FFFAB3"/>
        <bgColor indexed="15"/>
      </patternFill>
    </fill>
    <fill>
      <patternFill patternType="solid">
        <fgColor rgb="FF221F72"/>
        <bgColor rgb="FF221F72"/>
      </patternFill>
    </fill>
    <fill>
      <patternFill patternType="solid">
        <fgColor rgb="FFD0FFD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5E2FF"/>
        <bgColor indexed="64"/>
      </patternFill>
    </fill>
    <fill>
      <patternFill patternType="solid">
        <fgColor rgb="FFB4FF3C"/>
        <bgColor indexed="64"/>
      </patternFill>
    </fill>
    <fill>
      <patternFill patternType="solid">
        <fgColor theme="4" tint="-0.249977111117893"/>
        <bgColor rgb="FF221F72"/>
      </patternFill>
    </fill>
    <fill>
      <patternFill patternType="solid">
        <fgColor rgb="FFC00000"/>
        <bgColor rgb="FF221F72"/>
      </patternFill>
    </fill>
    <fill>
      <patternFill patternType="solid">
        <fgColor rgb="FF002060"/>
        <bgColor indexed="64"/>
      </patternFill>
    </fill>
    <fill>
      <patternFill patternType="solid">
        <fgColor rgb="FF71B8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4" tint="0.59999389629810485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C000"/>
      </left>
      <right style="thin">
        <color rgb="FF00C000"/>
      </right>
      <top style="thin">
        <color rgb="FF00C000"/>
      </top>
      <bottom style="thin">
        <color rgb="FF00C000"/>
      </bottom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 style="dotted">
        <color rgb="FF00C000"/>
      </left>
      <right style="dotted">
        <color rgb="FF00C000"/>
      </right>
      <top style="dotted">
        <color rgb="FF00C000"/>
      </top>
      <bottom style="dotted">
        <color rgb="FF00C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C000"/>
      </right>
      <top style="thin">
        <color rgb="FF00C000"/>
      </top>
      <bottom style="thin">
        <color rgb="FF00C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92D050"/>
      </left>
      <right style="thin">
        <color rgb="FF92D050"/>
      </right>
      <top style="thin">
        <color rgb="FF92D050"/>
      </top>
      <bottom style="thin">
        <color rgb="FF92D050"/>
      </bottom>
      <diagonal/>
    </border>
    <border>
      <left style="thin">
        <color rgb="FF92D050"/>
      </left>
      <right style="thin">
        <color rgb="FF00C000"/>
      </right>
      <top style="thin">
        <color rgb="FF92D050"/>
      </top>
      <bottom style="thin">
        <color rgb="FF00C000"/>
      </bottom>
      <diagonal/>
    </border>
    <border>
      <left style="thin">
        <color rgb="FF92D050"/>
      </left>
      <right/>
      <top style="thin">
        <color rgb="FF00C000"/>
      </top>
      <bottom style="thin">
        <color rgb="FF00C000"/>
      </bottom>
      <diagonal/>
    </border>
    <border>
      <left style="thin">
        <color rgb="FF92D050"/>
      </left>
      <right style="thin">
        <color rgb="FF92D050"/>
      </right>
      <top/>
      <bottom style="thin">
        <color rgb="FF92D050"/>
      </bottom>
      <diagonal/>
    </border>
    <border>
      <left style="thin">
        <color rgb="FF92D050"/>
      </left>
      <right style="thin">
        <color rgb="FF92D050"/>
      </right>
      <top style="thin">
        <color rgb="FF00C000"/>
      </top>
      <bottom style="thin">
        <color rgb="FF92D050"/>
      </bottom>
      <diagonal/>
    </border>
    <border>
      <left/>
      <right/>
      <top/>
      <bottom style="thin">
        <color rgb="FF92D050"/>
      </bottom>
      <diagonal/>
    </border>
    <border>
      <left style="thin">
        <color rgb="FF0000FF"/>
      </left>
      <right style="thin">
        <color rgb="FF92D050"/>
      </right>
      <top style="thin">
        <color rgb="FF92D050"/>
      </top>
      <bottom style="thin">
        <color rgb="FF92D050"/>
      </bottom>
      <diagonal/>
    </border>
    <border>
      <left style="thin">
        <color rgb="FF92D050"/>
      </left>
      <right style="thin">
        <color rgb="FF92D050"/>
      </right>
      <top style="thin">
        <color rgb="FF92D050"/>
      </top>
      <bottom/>
      <diagonal/>
    </border>
    <border>
      <left style="thin">
        <color rgb="FF92D050"/>
      </left>
      <right/>
      <top style="thin">
        <color rgb="FF92D050"/>
      </top>
      <bottom style="thin">
        <color rgb="FF92D050"/>
      </bottom>
      <diagonal/>
    </border>
    <border>
      <left style="thin">
        <color rgb="FF0070C0"/>
      </left>
      <right/>
      <top/>
      <bottom/>
      <diagonal/>
    </border>
  </borders>
  <cellStyleXfs count="19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>
      <alignment vertical="center"/>
    </xf>
    <xf numFmtId="173" fontId="3" fillId="0" borderId="0" applyFont="0" applyFill="0" applyBorder="0" applyAlignment="0" applyProtection="0">
      <alignment vertical="center"/>
    </xf>
    <xf numFmtId="0" fontId="5" fillId="0" borderId="0" applyNumberFormat="0" applyAlignment="0">
      <alignment vertical="center"/>
    </xf>
    <xf numFmtId="174" fontId="3" fillId="0" borderId="0" applyFont="0" applyFill="0" applyBorder="0" applyAlignment="0" applyProtection="0">
      <alignment horizontal="right" vertical="center"/>
    </xf>
    <xf numFmtId="0" fontId="4" fillId="0" borderId="0" applyNumberFormat="0" applyFill="0" applyBorder="0" applyAlignment="0" applyProtection="0">
      <alignment vertical="center"/>
    </xf>
    <xf numFmtId="176" fontId="3" fillId="5" borderId="7" applyNumberFormat="0" applyAlignment="0">
      <alignment vertical="center"/>
      <protection locked="0"/>
    </xf>
    <xf numFmtId="0" fontId="3" fillId="0" borderId="7" applyNumberFormat="0" applyAlignment="0">
      <alignment vertical="center"/>
      <protection locked="0"/>
    </xf>
    <xf numFmtId="0" fontId="6" fillId="6" borderId="0" applyNumberFormat="0">
      <alignment horizontal="center" vertical="top" wrapText="1"/>
    </xf>
    <xf numFmtId="0" fontId="3" fillId="0" borderId="8" applyNumberFormat="0" applyAlignment="0">
      <alignment vertical="center"/>
      <protection locked="0"/>
    </xf>
    <xf numFmtId="0" fontId="3" fillId="7" borderId="0" applyNumberFormat="0" applyAlignment="0">
      <alignment vertical="center"/>
    </xf>
    <xf numFmtId="178" fontId="3" fillId="0" borderId="0" applyFont="0" applyFill="0" applyBorder="0" applyAlignment="0" applyProtection="0">
      <alignment vertical="center"/>
    </xf>
    <xf numFmtId="0" fontId="3" fillId="0" borderId="9" applyNumberFormat="0" applyAlignment="0">
      <alignment vertical="center"/>
    </xf>
    <xf numFmtId="0" fontId="3" fillId="0" borderId="0">
      <alignment vertical="center"/>
    </xf>
    <xf numFmtId="0" fontId="3" fillId="13" borderId="0" applyNumberFormat="0" applyAlignment="0">
      <alignment vertical="center"/>
    </xf>
  </cellStyleXfs>
  <cellXfs count="280">
    <xf numFmtId="0" fontId="0" fillId="0" borderId="0" xfId="0"/>
    <xf numFmtId="0" fontId="7" fillId="0" borderId="0" xfId="0" applyFont="1" applyAlignment="1">
      <alignment vertical="center"/>
    </xf>
    <xf numFmtId="173" fontId="3" fillId="0" borderId="1" xfId="6" applyFont="1" applyFill="1" applyBorder="1">
      <alignment vertical="center"/>
    </xf>
    <xf numFmtId="0" fontId="8" fillId="0" borderId="1" xfId="0" applyFont="1" applyBorder="1"/>
    <xf numFmtId="0" fontId="9" fillId="0" borderId="1" xfId="0" applyFont="1" applyBorder="1"/>
    <xf numFmtId="0" fontId="9" fillId="0" borderId="1" xfId="0" applyFont="1" applyFill="1" applyBorder="1"/>
    <xf numFmtId="164" fontId="9" fillId="2" borderId="1" xfId="1" applyNumberFormat="1" applyFont="1" applyFill="1" applyBorder="1"/>
    <xf numFmtId="165" fontId="9" fillId="0" borderId="1" xfId="0" applyNumberFormat="1" applyFont="1" applyFill="1" applyBorder="1"/>
    <xf numFmtId="0" fontId="9" fillId="0" borderId="0" xfId="0" applyFont="1"/>
    <xf numFmtId="0" fontId="10" fillId="0" borderId="0" xfId="0" applyFont="1" applyFill="1" applyBorder="1"/>
    <xf numFmtId="0" fontId="11" fillId="0" borderId="0" xfId="0" applyFont="1" applyFill="1" applyBorder="1"/>
    <xf numFmtId="9" fontId="10" fillId="0" borderId="0" xfId="0" applyNumberFormat="1" applyFont="1" applyFill="1" applyBorder="1"/>
    <xf numFmtId="164" fontId="10" fillId="0" borderId="0" xfId="0" applyNumberFormat="1" applyFont="1" applyFill="1" applyBorder="1"/>
    <xf numFmtId="0" fontId="10" fillId="0" borderId="1" xfId="0" applyFont="1" applyBorder="1"/>
    <xf numFmtId="0" fontId="10" fillId="0" borderId="1" xfId="0" applyFont="1" applyFill="1" applyBorder="1"/>
    <xf numFmtId="0" fontId="8" fillId="0" borderId="0" xfId="0" applyFont="1" applyFill="1" applyBorder="1"/>
    <xf numFmtId="0" fontId="9" fillId="0" borderId="0" xfId="0" applyFont="1" applyFill="1" applyBorder="1"/>
    <xf numFmtId="0" fontId="9" fillId="0" borderId="2" xfId="0" applyFont="1" applyBorder="1"/>
    <xf numFmtId="4" fontId="8" fillId="0" borderId="1" xfId="0" applyNumberFormat="1" applyFont="1" applyBorder="1"/>
    <xf numFmtId="9" fontId="9" fillId="0" borderId="0" xfId="2" applyFont="1"/>
    <xf numFmtId="0" fontId="8" fillId="0" borderId="0" xfId="0" applyFont="1"/>
    <xf numFmtId="4" fontId="10" fillId="0" borderId="1" xfId="0" applyNumberFormat="1" applyFont="1" applyBorder="1"/>
    <xf numFmtId="0" fontId="14" fillId="0" borderId="0" xfId="0" applyFont="1" applyAlignment="1">
      <alignment wrapText="1"/>
    </xf>
    <xf numFmtId="0" fontId="15" fillId="0" borderId="0" xfId="0" applyFont="1" applyAlignment="1">
      <alignment wrapText="1"/>
    </xf>
    <xf numFmtId="0" fontId="8" fillId="0" borderId="0" xfId="0" applyFont="1" applyBorder="1"/>
    <xf numFmtId="4" fontId="8" fillId="0" borderId="0" xfId="0" applyNumberFormat="1" applyFont="1" applyBorder="1"/>
    <xf numFmtId="0" fontId="9" fillId="0" borderId="0" xfId="0" applyFont="1" applyFill="1"/>
    <xf numFmtId="0" fontId="11" fillId="0" borderId="1" xfId="0" applyFont="1" applyFill="1" applyBorder="1"/>
    <xf numFmtId="0" fontId="16" fillId="0" borderId="0" xfId="0" applyFont="1" applyFill="1" applyBorder="1"/>
    <xf numFmtId="0" fontId="9" fillId="0" borderId="0" xfId="0" applyFont="1" applyBorder="1"/>
    <xf numFmtId="166" fontId="9" fillId="0" borderId="0" xfId="0" applyNumberFormat="1" applyFont="1" applyBorder="1"/>
    <xf numFmtId="166" fontId="9" fillId="0" borderId="1" xfId="0" applyNumberFormat="1" applyFont="1" applyBorder="1"/>
    <xf numFmtId="0" fontId="9" fillId="9" borderId="1" xfId="0" applyFont="1" applyFill="1" applyBorder="1"/>
    <xf numFmtId="165" fontId="9" fillId="10" borderId="1" xfId="1" applyNumberFormat="1" applyFont="1" applyFill="1" applyBorder="1"/>
    <xf numFmtId="165" fontId="9" fillId="10" borderId="1" xfId="0" applyNumberFormat="1" applyFont="1" applyFill="1" applyBorder="1"/>
    <xf numFmtId="0" fontId="9" fillId="10" borderId="1" xfId="0" applyFont="1" applyFill="1" applyBorder="1"/>
    <xf numFmtId="184" fontId="9" fillId="10" borderId="1" xfId="0" applyNumberFormat="1" applyFont="1" applyFill="1" applyBorder="1"/>
    <xf numFmtId="10" fontId="9" fillId="9" borderId="1" xfId="0" applyNumberFormat="1" applyFont="1" applyFill="1" applyBorder="1"/>
    <xf numFmtId="0" fontId="13" fillId="0" borderId="0" xfId="0" applyFont="1" applyFill="1" applyBorder="1"/>
    <xf numFmtId="165" fontId="9" fillId="0" borderId="0" xfId="0" applyNumberFormat="1" applyFont="1"/>
    <xf numFmtId="0" fontId="6" fillId="6" borderId="1" xfId="12" applyFont="1" applyBorder="1">
      <alignment horizontal="center" vertical="top" wrapText="1"/>
    </xf>
    <xf numFmtId="0" fontId="17" fillId="0" borderId="1" xfId="0" applyFont="1" applyBorder="1"/>
    <xf numFmtId="9" fontId="17" fillId="0" borderId="1" xfId="0" applyNumberFormat="1" applyFont="1" applyBorder="1"/>
    <xf numFmtId="44" fontId="17" fillId="0" borderId="1" xfId="1" applyFont="1" applyBorder="1"/>
    <xf numFmtId="165" fontId="17" fillId="0" borderId="1" xfId="0" applyNumberFormat="1" applyFont="1" applyBorder="1"/>
    <xf numFmtId="10" fontId="17" fillId="0" borderId="1" xfId="0" applyNumberFormat="1" applyFont="1" applyBorder="1"/>
    <xf numFmtId="0" fontId="14" fillId="0" borderId="0" xfId="0" applyFont="1"/>
    <xf numFmtId="168" fontId="11" fillId="12" borderId="1" xfId="0" applyNumberFormat="1" applyFont="1" applyFill="1" applyBorder="1"/>
    <xf numFmtId="0" fontId="5" fillId="0" borderId="0" xfId="7" applyFont="1">
      <alignment vertical="center"/>
    </xf>
    <xf numFmtId="0" fontId="6" fillId="6" borderId="0" xfId="12" applyFont="1">
      <alignment horizontal="center" vertical="top" wrapText="1"/>
    </xf>
    <xf numFmtId="0" fontId="3" fillId="0" borderId="0" xfId="5" applyFont="1">
      <alignment vertical="center"/>
    </xf>
    <xf numFmtId="0" fontId="3" fillId="7" borderId="0" xfId="14" applyFont="1">
      <alignment vertical="center"/>
    </xf>
    <xf numFmtId="181" fontId="3" fillId="0" borderId="9" xfId="16" applyNumberFormat="1" applyFont="1">
      <alignment vertical="center"/>
    </xf>
    <xf numFmtId="182" fontId="3" fillId="0" borderId="9" xfId="16" applyNumberFormat="1" applyFont="1">
      <alignment vertical="center"/>
    </xf>
    <xf numFmtId="0" fontId="6" fillId="6" borderId="10" xfId="12" applyFont="1" applyBorder="1">
      <alignment horizontal="center" vertical="top" wrapText="1"/>
    </xf>
    <xf numFmtId="183" fontId="3" fillId="5" borderId="1" xfId="10" applyNumberFormat="1" applyFont="1" applyBorder="1">
      <alignment vertical="center"/>
      <protection locked="0"/>
    </xf>
    <xf numFmtId="182" fontId="3" fillId="0" borderId="1" xfId="16" applyNumberFormat="1" applyFont="1" applyBorder="1" applyAlignment="1">
      <alignment vertical="center"/>
    </xf>
    <xf numFmtId="0" fontId="10" fillId="0" borderId="0" xfId="0" applyFont="1" applyFill="1"/>
    <xf numFmtId="0" fontId="17" fillId="0" borderId="0" xfId="0" applyFont="1"/>
    <xf numFmtId="0" fontId="19" fillId="0" borderId="0" xfId="4" applyFont="1"/>
    <xf numFmtId="9" fontId="10" fillId="0" borderId="0" xfId="0" applyNumberFormat="1" applyFont="1" applyFill="1"/>
    <xf numFmtId="186" fontId="10" fillId="0" borderId="0" xfId="0" applyNumberFormat="1" applyFont="1" applyFill="1"/>
    <xf numFmtId="186" fontId="11" fillId="0" borderId="0" xfId="0" applyNumberFormat="1" applyFont="1" applyFill="1"/>
    <xf numFmtId="0" fontId="11" fillId="0" borderId="0" xfId="0" applyFont="1" applyFill="1"/>
    <xf numFmtId="165" fontId="10" fillId="0" borderId="0" xfId="0" applyNumberFormat="1" applyFont="1" applyFill="1"/>
    <xf numFmtId="165" fontId="8" fillId="10" borderId="1" xfId="1" applyNumberFormat="1" applyFont="1" applyFill="1" applyBorder="1"/>
    <xf numFmtId="0" fontId="3" fillId="5" borderId="11" xfId="10" applyNumberFormat="1" applyFont="1" applyBorder="1">
      <alignment vertical="center"/>
      <protection locked="0"/>
    </xf>
    <xf numFmtId="0" fontId="4" fillId="0" borderId="1" xfId="9" applyFont="1" applyBorder="1">
      <alignment vertical="center"/>
    </xf>
    <xf numFmtId="0" fontId="20" fillId="0" borderId="0" xfId="0" applyFont="1"/>
    <xf numFmtId="0" fontId="6" fillId="0" borderId="0" xfId="12" applyFont="1" applyFill="1" applyBorder="1">
      <alignment horizontal="center" vertical="top" wrapText="1"/>
    </xf>
    <xf numFmtId="0" fontId="4" fillId="0" borderId="0" xfId="0" applyFont="1" applyAlignment="1">
      <alignment vertical="center"/>
    </xf>
    <xf numFmtId="0" fontId="17" fillId="0" borderId="1" xfId="17" applyFont="1" applyBorder="1" applyProtection="1">
      <alignment vertical="center"/>
      <protection locked="0"/>
    </xf>
    <xf numFmtId="0" fontId="17" fillId="0" borderId="0" xfId="0" applyFont="1" applyAlignment="1">
      <alignment vertical="center"/>
    </xf>
    <xf numFmtId="0" fontId="17" fillId="3" borderId="0" xfId="0" applyFont="1" applyFill="1" applyAlignment="1">
      <alignment vertical="center"/>
    </xf>
    <xf numFmtId="1" fontId="17" fillId="0" borderId="1" xfId="0" applyNumberFormat="1" applyFont="1" applyBorder="1"/>
    <xf numFmtId="0" fontId="17" fillId="0" borderId="0" xfId="0" applyFont="1" applyBorder="1"/>
    <xf numFmtId="9" fontId="17" fillId="0" borderId="0" xfId="0" applyNumberFormat="1" applyFont="1" applyBorder="1"/>
    <xf numFmtId="182" fontId="17" fillId="0" borderId="1" xfId="0" applyNumberFormat="1" applyFont="1" applyBorder="1"/>
    <xf numFmtId="0" fontId="17" fillId="0" borderId="1" xfId="0" applyFont="1" applyFill="1" applyBorder="1"/>
    <xf numFmtId="0" fontId="17" fillId="0" borderId="0" xfId="0" applyFont="1" applyBorder="1" applyAlignment="1">
      <alignment vertical="center"/>
    </xf>
    <xf numFmtId="0" fontId="17" fillId="0" borderId="1" xfId="0" applyFont="1" applyBorder="1" applyAlignment="1">
      <alignment vertical="center"/>
    </xf>
    <xf numFmtId="0" fontId="17" fillId="0" borderId="0" xfId="0" applyFont="1" applyFill="1"/>
    <xf numFmtId="0" fontId="18" fillId="0" borderId="1" xfId="0" applyFont="1" applyBorder="1"/>
    <xf numFmtId="0" fontId="18" fillId="0" borderId="1" xfId="0" applyFont="1" applyFill="1" applyBorder="1"/>
    <xf numFmtId="0" fontId="3" fillId="0" borderId="0" xfId="0" applyFont="1" applyFill="1"/>
    <xf numFmtId="0" fontId="18" fillId="0" borderId="0" xfId="0" applyFont="1"/>
    <xf numFmtId="9" fontId="17" fillId="0" borderId="0" xfId="2" applyFont="1"/>
    <xf numFmtId="9" fontId="17" fillId="0" borderId="1" xfId="2" applyFont="1" applyBorder="1"/>
    <xf numFmtId="0" fontId="18" fillId="0" borderId="1" xfId="0" applyFont="1" applyFill="1" applyBorder="1" applyAlignment="1">
      <alignment horizontal="center"/>
    </xf>
    <xf numFmtId="171" fontId="17" fillId="0" borderId="1" xfId="0" applyNumberFormat="1" applyFont="1" applyBorder="1" applyAlignment="1">
      <alignment horizontal="center"/>
    </xf>
    <xf numFmtId="168" fontId="17" fillId="0" borderId="1" xfId="0" applyNumberFormat="1" applyFont="1" applyBorder="1"/>
    <xf numFmtId="0" fontId="15" fillId="0" borderId="0" xfId="0" applyFont="1" applyBorder="1"/>
    <xf numFmtId="168" fontId="15" fillId="0" borderId="0" xfId="0" applyNumberFormat="1" applyFont="1" applyFill="1" applyBorder="1"/>
    <xf numFmtId="185" fontId="17" fillId="0" borderId="0" xfId="0" applyNumberFormat="1" applyFont="1" applyBorder="1" applyAlignment="1">
      <alignment horizontal="center"/>
    </xf>
    <xf numFmtId="167" fontId="17" fillId="0" borderId="1" xfId="0" applyNumberFormat="1" applyFont="1" applyBorder="1" applyAlignment="1">
      <alignment horizontal="center"/>
    </xf>
    <xf numFmtId="171" fontId="17" fillId="0" borderId="0" xfId="0" applyNumberFormat="1" applyFont="1" applyBorder="1" applyAlignment="1">
      <alignment horizontal="center"/>
    </xf>
    <xf numFmtId="172" fontId="17" fillId="0" borderId="1" xfId="3" applyNumberFormat="1" applyFont="1" applyFill="1" applyBorder="1"/>
    <xf numFmtId="0" fontId="17" fillId="0" borderId="1" xfId="0" applyFont="1" applyBorder="1" applyAlignment="1">
      <alignment horizontal="center"/>
    </xf>
    <xf numFmtId="3" fontId="17" fillId="0" borderId="1" xfId="0" applyNumberFormat="1" applyFont="1" applyBorder="1"/>
    <xf numFmtId="9" fontId="17" fillId="0" borderId="1" xfId="2" applyNumberFormat="1" applyFont="1" applyBorder="1"/>
    <xf numFmtId="0" fontId="3" fillId="0" borderId="1" xfId="0" applyFont="1" applyBorder="1"/>
    <xf numFmtId="1" fontId="3" fillId="0" borderId="1" xfId="0" applyNumberFormat="1" applyFont="1" applyBorder="1"/>
    <xf numFmtId="2" fontId="18" fillId="0" borderId="0" xfId="0" applyNumberFormat="1" applyFont="1" applyBorder="1"/>
    <xf numFmtId="0" fontId="3" fillId="0" borderId="1" xfId="13" applyFont="1" applyBorder="1">
      <alignment vertical="center"/>
      <protection locked="0"/>
    </xf>
    <xf numFmtId="0" fontId="3" fillId="0" borderId="1" xfId="13" applyFont="1" applyBorder="1" applyAlignment="1">
      <alignment vertical="center"/>
      <protection locked="0"/>
    </xf>
    <xf numFmtId="175" fontId="3" fillId="0" borderId="1" xfId="8" applyNumberFormat="1" applyFont="1" applyFill="1" applyBorder="1" applyAlignment="1">
      <alignment vertical="center"/>
    </xf>
    <xf numFmtId="171" fontId="17" fillId="0" borderId="1" xfId="3" applyNumberFormat="1" applyFont="1" applyFill="1" applyBorder="1"/>
    <xf numFmtId="0" fontId="3" fillId="0" borderId="1" xfId="10" applyNumberFormat="1" applyFont="1" applyFill="1" applyBorder="1">
      <alignment vertical="center"/>
      <protection locked="0"/>
    </xf>
    <xf numFmtId="0" fontId="3" fillId="0" borderId="1" xfId="11" applyFont="1" applyBorder="1">
      <alignment vertical="center"/>
      <protection locked="0"/>
    </xf>
    <xf numFmtId="0" fontId="3" fillId="0" borderId="1" xfId="13" applyFont="1" applyFill="1" applyBorder="1" applyAlignment="1">
      <alignment vertical="center"/>
      <protection locked="0"/>
    </xf>
    <xf numFmtId="17" fontId="17" fillId="0" borderId="1" xfId="0" applyNumberFormat="1" applyFont="1" applyBorder="1"/>
    <xf numFmtId="3" fontId="17" fillId="0" borderId="0" xfId="0" applyNumberFormat="1" applyFont="1"/>
    <xf numFmtId="0" fontId="21" fillId="0" borderId="0" xfId="0" applyFont="1" applyAlignment="1">
      <alignment vertical="center"/>
    </xf>
    <xf numFmtId="188" fontId="3" fillId="0" borderId="9" xfId="16" applyNumberFormat="1" applyFont="1">
      <alignment vertical="center"/>
    </xf>
    <xf numFmtId="0" fontId="21" fillId="0" borderId="0" xfId="0" applyFont="1" applyFill="1" applyAlignment="1">
      <alignment vertical="center"/>
    </xf>
    <xf numFmtId="167" fontId="17" fillId="0" borderId="0" xfId="0" applyNumberFormat="1" applyFont="1"/>
    <xf numFmtId="9" fontId="17" fillId="0" borderId="0" xfId="0" applyNumberFormat="1" applyFont="1"/>
    <xf numFmtId="9" fontId="3" fillId="0" borderId="0" xfId="2" applyFont="1" applyAlignment="1">
      <alignment vertical="center"/>
    </xf>
    <xf numFmtId="0" fontId="22" fillId="0" borderId="0" xfId="0" applyFont="1"/>
    <xf numFmtId="0" fontId="22" fillId="0" borderId="1" xfId="0" applyFont="1" applyBorder="1"/>
    <xf numFmtId="0" fontId="23" fillId="6" borderId="1" xfId="12" applyFont="1" applyBorder="1">
      <alignment horizontal="center" vertical="top" wrapText="1"/>
    </xf>
    <xf numFmtId="0" fontId="24" fillId="0" borderId="1" xfId="0" applyFont="1" applyBorder="1"/>
    <xf numFmtId="0" fontId="25" fillId="0" borderId="1" xfId="5" applyFont="1" applyBorder="1">
      <alignment vertical="center"/>
    </xf>
    <xf numFmtId="3" fontId="22" fillId="0" borderId="1" xfId="0" applyNumberFormat="1" applyFont="1" applyBorder="1"/>
    <xf numFmtId="165" fontId="22" fillId="0" borderId="1" xfId="0" applyNumberFormat="1" applyFont="1" applyBorder="1"/>
    <xf numFmtId="164" fontId="22" fillId="0" borderId="1" xfId="0" applyNumberFormat="1" applyFont="1" applyBorder="1"/>
    <xf numFmtId="191" fontId="24" fillId="0" borderId="1" xfId="0" applyNumberFormat="1" applyFont="1" applyBorder="1"/>
    <xf numFmtId="0" fontId="26" fillId="0" borderId="0" xfId="7" applyFont="1">
      <alignment vertical="center"/>
    </xf>
    <xf numFmtId="165" fontId="24" fillId="0" borderId="1" xfId="0" applyNumberFormat="1" applyFont="1" applyBorder="1"/>
    <xf numFmtId="165" fontId="24" fillId="11" borderId="1" xfId="0" applyNumberFormat="1" applyFont="1" applyFill="1" applyBorder="1"/>
    <xf numFmtId="3" fontId="22" fillId="0" borderId="1" xfId="0" applyNumberFormat="1" applyFont="1" applyFill="1" applyBorder="1"/>
    <xf numFmtId="0" fontId="10" fillId="0" borderId="12" xfId="0" applyFont="1" applyBorder="1"/>
    <xf numFmtId="0" fontId="8" fillId="0" borderId="12" xfId="0" applyFont="1" applyBorder="1"/>
    <xf numFmtId="164" fontId="9" fillId="0" borderId="0" xfId="0" applyNumberFormat="1" applyFont="1"/>
    <xf numFmtId="164" fontId="13" fillId="0" borderId="0" xfId="0" applyNumberFormat="1" applyFont="1" applyFill="1" applyBorder="1" applyAlignment="1">
      <alignment wrapText="1"/>
    </xf>
    <xf numFmtId="9" fontId="22" fillId="0" borderId="0" xfId="0" applyNumberFormat="1" applyFont="1"/>
    <xf numFmtId="0" fontId="28" fillId="0" borderId="0" xfId="0" applyFont="1"/>
    <xf numFmtId="9" fontId="28" fillId="0" borderId="0" xfId="0" applyNumberFormat="1" applyFont="1"/>
    <xf numFmtId="165" fontId="28" fillId="0" borderId="0" xfId="0" applyNumberFormat="1" applyFont="1"/>
    <xf numFmtId="164" fontId="17" fillId="0" borderId="0" xfId="0" applyNumberFormat="1" applyFont="1"/>
    <xf numFmtId="165" fontId="17" fillId="0" borderId="1" xfId="0" applyNumberFormat="1" applyFont="1" applyFill="1" applyBorder="1"/>
    <xf numFmtId="0" fontId="17" fillId="0" borderId="1" xfId="0" applyFont="1" applyFill="1" applyBorder="1" applyAlignment="1">
      <alignment wrapText="1"/>
    </xf>
    <xf numFmtId="164" fontId="17" fillId="0" borderId="1" xfId="0" applyNumberFormat="1" applyFont="1" applyFill="1" applyBorder="1"/>
    <xf numFmtId="0" fontId="17" fillId="0" borderId="0" xfId="0" applyFont="1" applyFill="1" applyBorder="1"/>
    <xf numFmtId="184" fontId="17" fillId="0" borderId="0" xfId="0" applyNumberFormat="1" applyFont="1" applyFill="1" applyBorder="1"/>
    <xf numFmtId="164" fontId="17" fillId="0" borderId="0" xfId="0" applyNumberFormat="1" applyFont="1" applyFill="1" applyBorder="1"/>
    <xf numFmtId="192" fontId="17" fillId="0" borderId="1" xfId="0" applyNumberFormat="1" applyFont="1" applyBorder="1"/>
    <xf numFmtId="164" fontId="18" fillId="0" borderId="1" xfId="0" applyNumberFormat="1" applyFont="1" applyBorder="1"/>
    <xf numFmtId="174" fontId="17" fillId="0" borderId="1" xfId="0" applyNumberFormat="1" applyFont="1" applyFill="1" applyBorder="1"/>
    <xf numFmtId="165" fontId="18" fillId="0" borderId="1" xfId="0" applyNumberFormat="1" applyFont="1" applyBorder="1"/>
    <xf numFmtId="10" fontId="17" fillId="0" borderId="1" xfId="2" applyNumberFormat="1" applyFont="1" applyFill="1" applyBorder="1"/>
    <xf numFmtId="172" fontId="17" fillId="0" borderId="1" xfId="0" applyNumberFormat="1" applyFont="1" applyFill="1" applyBorder="1"/>
    <xf numFmtId="0" fontId="3" fillId="0" borderId="1" xfId="13" applyBorder="1" applyAlignment="1">
      <alignment vertical="center"/>
      <protection locked="0"/>
    </xf>
    <xf numFmtId="9" fontId="3" fillId="0" borderId="1" xfId="2" applyFont="1" applyFill="1" applyBorder="1"/>
    <xf numFmtId="165" fontId="10" fillId="10" borderId="1" xfId="1" applyNumberFormat="1" applyFont="1" applyFill="1" applyBorder="1"/>
    <xf numFmtId="0" fontId="10" fillId="10" borderId="1" xfId="0" applyFont="1" applyFill="1" applyBorder="1"/>
    <xf numFmtId="0" fontId="11" fillId="0" borderId="1" xfId="0" applyFont="1" applyBorder="1"/>
    <xf numFmtId="0" fontId="29" fillId="0" borderId="0" xfId="0" applyFont="1"/>
    <xf numFmtId="177" fontId="3" fillId="7" borderId="1" xfId="14" applyNumberFormat="1" applyFont="1" applyBorder="1" applyAlignment="1"/>
    <xf numFmtId="177" fontId="3" fillId="5" borderId="1" xfId="10" applyNumberFormat="1" applyFont="1" applyBorder="1" applyAlignment="1">
      <protection locked="0"/>
    </xf>
    <xf numFmtId="178" fontId="3" fillId="0" borderId="1" xfId="15" applyFont="1" applyBorder="1" applyAlignment="1">
      <alignment vertical="center"/>
    </xf>
    <xf numFmtId="179" fontId="3" fillId="0" borderId="1" xfId="16" applyNumberFormat="1" applyFont="1" applyBorder="1" applyAlignment="1"/>
    <xf numFmtId="180" fontId="3" fillId="8" borderId="1" xfId="15" applyNumberFormat="1" applyFont="1" applyFill="1" applyBorder="1">
      <alignment vertical="center"/>
    </xf>
    <xf numFmtId="9" fontId="22" fillId="0" borderId="0" xfId="2" applyFont="1"/>
    <xf numFmtId="165" fontId="10" fillId="10" borderId="1" xfId="0" applyNumberFormat="1" applyFont="1" applyFill="1" applyBorder="1"/>
    <xf numFmtId="184" fontId="10" fillId="10" borderId="1" xfId="0" applyNumberFormat="1" applyFont="1" applyFill="1" applyBorder="1"/>
    <xf numFmtId="0" fontId="10" fillId="0" borderId="1" xfId="0" applyFont="1" applyFill="1" applyBorder="1" applyAlignment="1">
      <alignment wrapText="1"/>
    </xf>
    <xf numFmtId="9" fontId="22" fillId="0" borderId="1" xfId="0" applyNumberFormat="1" applyFont="1" applyFill="1" applyBorder="1"/>
    <xf numFmtId="9" fontId="22" fillId="0" borderId="0" xfId="0" applyNumberFormat="1" applyFont="1" applyFill="1" applyBorder="1"/>
    <xf numFmtId="0" fontId="22" fillId="0" borderId="1" xfId="0" applyFont="1" applyBorder="1" applyAlignment="1">
      <alignment horizontal="center"/>
    </xf>
    <xf numFmtId="2" fontId="22" fillId="0" borderId="1" xfId="0" applyNumberFormat="1" applyFont="1" applyBorder="1" applyAlignment="1">
      <alignment horizontal="center"/>
    </xf>
    <xf numFmtId="164" fontId="24" fillId="11" borderId="1" xfId="0" applyNumberFormat="1" applyFont="1" applyFill="1" applyBorder="1"/>
    <xf numFmtId="0" fontId="22" fillId="0" borderId="0" xfId="0" applyFont="1" applyFill="1"/>
    <xf numFmtId="165" fontId="24" fillId="0" borderId="0" xfId="0" applyNumberFormat="1" applyFont="1" applyFill="1" applyBorder="1"/>
    <xf numFmtId="165" fontId="24" fillId="0" borderId="12" xfId="0" applyNumberFormat="1" applyFont="1" applyBorder="1"/>
    <xf numFmtId="9" fontId="22" fillId="0" borderId="1" xfId="2" applyFont="1" applyFill="1" applyBorder="1"/>
    <xf numFmtId="165" fontId="24" fillId="0" borderId="1" xfId="0" applyNumberFormat="1" applyFont="1" applyFill="1" applyBorder="1"/>
    <xf numFmtId="0" fontId="22" fillId="11" borderId="1" xfId="0" applyFont="1" applyFill="1" applyBorder="1" applyAlignment="1">
      <alignment horizontal="center"/>
    </xf>
    <xf numFmtId="3" fontId="22" fillId="0" borderId="1" xfId="0" applyNumberFormat="1" applyFont="1" applyBorder="1" applyAlignment="1">
      <alignment horizontal="center"/>
    </xf>
    <xf numFmtId="0" fontId="6" fillId="14" borderId="0" xfId="12" applyFont="1" applyFill="1">
      <alignment horizontal="center" vertical="top" wrapText="1"/>
    </xf>
    <xf numFmtId="0" fontId="6" fillId="15" borderId="0" xfId="12" applyFont="1" applyFill="1">
      <alignment horizontal="center" vertical="top" wrapText="1"/>
    </xf>
    <xf numFmtId="0" fontId="6" fillId="15" borderId="1" xfId="12" applyFont="1" applyFill="1" applyBorder="1">
      <alignment horizontal="center" vertical="top" wrapText="1"/>
    </xf>
    <xf numFmtId="0" fontId="10" fillId="0" borderId="12" xfId="0" applyFont="1" applyFill="1" applyBorder="1"/>
    <xf numFmtId="0" fontId="12" fillId="0" borderId="12" xfId="0" applyFont="1" applyFill="1" applyBorder="1"/>
    <xf numFmtId="0" fontId="8" fillId="0" borderId="6" xfId="0" applyFont="1" applyBorder="1"/>
    <xf numFmtId="0" fontId="6" fillId="15" borderId="3" xfId="12" applyFont="1" applyFill="1" applyBorder="1">
      <alignment horizontal="center" vertical="top" wrapText="1"/>
    </xf>
    <xf numFmtId="0" fontId="6" fillId="15" borderId="5" xfId="12" applyFont="1" applyFill="1" applyBorder="1">
      <alignment horizontal="center" vertical="top" wrapText="1"/>
    </xf>
    <xf numFmtId="164" fontId="10" fillId="0" borderId="13" xfId="1" applyNumberFormat="1" applyFont="1" applyFill="1" applyBorder="1"/>
    <xf numFmtId="9" fontId="10" fillId="0" borderId="14" xfId="2" applyFont="1" applyFill="1" applyBorder="1"/>
    <xf numFmtId="10" fontId="10" fillId="0" borderId="14" xfId="2" applyNumberFormat="1" applyFont="1" applyFill="1" applyBorder="1"/>
    <xf numFmtId="170" fontId="10" fillId="0" borderId="14" xfId="2" applyNumberFormat="1" applyFont="1" applyFill="1" applyBorder="1"/>
    <xf numFmtId="164" fontId="8" fillId="0" borderId="15" xfId="0" applyNumberFormat="1" applyFont="1" applyFill="1" applyBorder="1"/>
    <xf numFmtId="0" fontId="9" fillId="0" borderId="16" xfId="0" applyFont="1" applyBorder="1"/>
    <xf numFmtId="0" fontId="6" fillId="14" borderId="3" xfId="12" applyFont="1" applyFill="1" applyBorder="1">
      <alignment horizontal="center" vertical="top" wrapText="1"/>
    </xf>
    <xf numFmtId="0" fontId="6" fillId="14" borderId="5" xfId="12" applyFont="1" applyFill="1" applyBorder="1">
      <alignment horizontal="center" vertical="top" wrapText="1"/>
    </xf>
    <xf numFmtId="0" fontId="9" fillId="0" borderId="17" xfId="0" applyFont="1" applyBorder="1"/>
    <xf numFmtId="0" fontId="3" fillId="0" borderId="19" xfId="11" applyFont="1" applyBorder="1">
      <alignment vertical="center"/>
      <protection locked="0"/>
    </xf>
    <xf numFmtId="0" fontId="3" fillId="0" borderId="20" xfId="11" applyFont="1" applyBorder="1">
      <alignment vertical="center"/>
      <protection locked="0"/>
    </xf>
    <xf numFmtId="0" fontId="3" fillId="0" borderId="20" xfId="11" applyBorder="1">
      <alignment vertical="center"/>
      <protection locked="0"/>
    </xf>
    <xf numFmtId="0" fontId="3" fillId="0" borderId="21" xfId="13" applyFont="1" applyBorder="1">
      <alignment vertical="center"/>
      <protection locked="0"/>
    </xf>
    <xf numFmtId="0" fontId="3" fillId="0" borderId="18" xfId="13" applyFont="1" applyBorder="1">
      <alignment vertical="center"/>
      <protection locked="0"/>
    </xf>
    <xf numFmtId="0" fontId="3" fillId="0" borderId="18" xfId="13" applyBorder="1">
      <alignment vertical="center"/>
      <protection locked="0"/>
    </xf>
    <xf numFmtId="0" fontId="3" fillId="0" borderId="22" xfId="11" applyBorder="1">
      <alignment vertical="center"/>
      <protection locked="0"/>
    </xf>
    <xf numFmtId="0" fontId="6" fillId="6" borderId="23" xfId="12" applyBorder="1">
      <alignment horizontal="center" vertical="top" wrapText="1"/>
    </xf>
    <xf numFmtId="0" fontId="3" fillId="0" borderId="24" xfId="13" applyFont="1" applyBorder="1">
      <alignment vertical="center"/>
      <protection locked="0"/>
    </xf>
    <xf numFmtId="0" fontId="3" fillId="0" borderId="25" xfId="13" applyBorder="1">
      <alignment vertical="center"/>
      <protection locked="0"/>
    </xf>
    <xf numFmtId="174" fontId="3" fillId="0" borderId="18" xfId="11" applyNumberFormat="1" applyFont="1" applyBorder="1" applyAlignment="1">
      <alignment vertical="center"/>
      <protection locked="0"/>
    </xf>
    <xf numFmtId="0" fontId="3" fillId="0" borderId="26" xfId="13" applyBorder="1">
      <alignment vertical="center"/>
      <protection locked="0"/>
    </xf>
    <xf numFmtId="0" fontId="17" fillId="0" borderId="27" xfId="0" applyFont="1" applyBorder="1"/>
    <xf numFmtId="0" fontId="9" fillId="0" borderId="1" xfId="0" applyFont="1" applyBorder="1" applyAlignment="1">
      <alignment horizontal="center"/>
    </xf>
    <xf numFmtId="9" fontId="9" fillId="4" borderId="1" xfId="2" applyFont="1" applyFill="1" applyBorder="1" applyAlignment="1">
      <alignment horizontal="center"/>
    </xf>
    <xf numFmtId="0" fontId="32" fillId="0" borderId="0" xfId="0" applyFont="1" applyFill="1"/>
    <xf numFmtId="165" fontId="32" fillId="0" borderId="0" xfId="0" applyNumberFormat="1" applyFont="1" applyFill="1"/>
    <xf numFmtId="171" fontId="17" fillId="9" borderId="1" xfId="0" applyNumberFormat="1" applyFont="1" applyFill="1" applyBorder="1" applyAlignment="1">
      <alignment horizontal="center"/>
    </xf>
    <xf numFmtId="164" fontId="18" fillId="0" borderId="1" xfId="0" applyNumberFormat="1" applyFont="1" applyFill="1" applyBorder="1"/>
    <xf numFmtId="171" fontId="17" fillId="0" borderId="0" xfId="0" applyNumberFormat="1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/>
    </xf>
    <xf numFmtId="3" fontId="0" fillId="18" borderId="1" xfId="0" applyNumberFormat="1" applyFill="1" applyBorder="1"/>
    <xf numFmtId="0" fontId="13" fillId="0" borderId="0" xfId="0" applyFont="1"/>
    <xf numFmtId="2" fontId="22" fillId="0" borderId="0" xfId="0" quotePrefix="1" applyNumberFormat="1" applyFont="1"/>
    <xf numFmtId="0" fontId="33" fillId="0" borderId="0" xfId="0" applyFont="1" applyFill="1" applyBorder="1"/>
    <xf numFmtId="0" fontId="33" fillId="0" borderId="0" xfId="0" applyFont="1"/>
    <xf numFmtId="187" fontId="3" fillId="0" borderId="1" xfId="0" applyNumberFormat="1" applyFont="1" applyFill="1" applyBorder="1"/>
    <xf numFmtId="2" fontId="17" fillId="0" borderId="0" xfId="0" applyNumberFormat="1" applyFont="1"/>
    <xf numFmtId="2" fontId="17" fillId="0" borderId="1" xfId="0" applyNumberFormat="1" applyFont="1" applyBorder="1"/>
    <xf numFmtId="169" fontId="17" fillId="0" borderId="0" xfId="0" applyNumberFormat="1" applyFont="1"/>
    <xf numFmtId="183" fontId="17" fillId="0" borderId="1" xfId="0" applyNumberFormat="1" applyFont="1" applyBorder="1"/>
    <xf numFmtId="1" fontId="17" fillId="17" borderId="12" xfId="0" applyNumberFormat="1" applyFont="1" applyFill="1" applyBorder="1"/>
    <xf numFmtId="1" fontId="17" fillId="0" borderId="0" xfId="0" applyNumberFormat="1" applyFont="1"/>
    <xf numFmtId="10" fontId="34" fillId="0" borderId="0" xfId="0" applyNumberFormat="1" applyFont="1"/>
    <xf numFmtId="0" fontId="34" fillId="0" borderId="0" xfId="0" applyFont="1"/>
    <xf numFmtId="0" fontId="5" fillId="0" borderId="0" xfId="7" applyFont="1" applyFill="1" applyBorder="1">
      <alignment vertical="center"/>
    </xf>
    <xf numFmtId="0" fontId="35" fillId="0" borderId="1" xfId="7" applyFont="1" applyBorder="1">
      <alignment vertical="center"/>
    </xf>
    <xf numFmtId="0" fontId="36" fillId="0" borderId="1" xfId="0" applyFont="1" applyBorder="1"/>
    <xf numFmtId="0" fontId="35" fillId="0" borderId="1" xfId="7" applyFont="1" applyFill="1" applyBorder="1">
      <alignment vertical="center"/>
    </xf>
    <xf numFmtId="0" fontId="31" fillId="0" borderId="1" xfId="0" applyFont="1" applyBorder="1"/>
    <xf numFmtId="169" fontId="3" fillId="7" borderId="1" xfId="14" applyNumberFormat="1" applyFont="1" applyBorder="1">
      <alignment vertical="center"/>
    </xf>
    <xf numFmtId="182" fontId="3" fillId="7" borderId="1" xfId="14" applyNumberFormat="1" applyFont="1" applyBorder="1" applyAlignment="1"/>
    <xf numFmtId="0" fontId="35" fillId="0" borderId="0" xfId="7" applyFont="1" applyAlignment="1">
      <alignment horizontal="left" vertical="center"/>
    </xf>
    <xf numFmtId="0" fontId="35" fillId="0" borderId="0" xfId="7" applyFont="1" applyBorder="1">
      <alignment vertical="center"/>
    </xf>
    <xf numFmtId="0" fontId="3" fillId="0" borderId="0" xfId="0" applyFont="1"/>
    <xf numFmtId="0" fontId="37" fillId="0" borderId="0" xfId="0" applyFont="1" applyAlignment="1">
      <alignment vertical="center"/>
    </xf>
    <xf numFmtId="9" fontId="3" fillId="0" borderId="0" xfId="2" applyFont="1"/>
    <xf numFmtId="3" fontId="3" fillId="0" borderId="0" xfId="0" applyNumberFormat="1" applyFont="1"/>
    <xf numFmtId="0" fontId="38" fillId="0" borderId="0" xfId="0" applyFont="1" applyAlignment="1">
      <alignment vertical="center"/>
    </xf>
    <xf numFmtId="43" fontId="3" fillId="0" borderId="0" xfId="0" applyNumberFormat="1" applyFont="1"/>
    <xf numFmtId="0" fontId="4" fillId="0" borderId="0" xfId="0" applyFont="1"/>
    <xf numFmtId="9" fontId="4" fillId="0" borderId="0" xfId="0" applyNumberFormat="1" applyFont="1"/>
    <xf numFmtId="189" fontId="3" fillId="5" borderId="1" xfId="10" applyNumberFormat="1" applyFont="1" applyBorder="1">
      <alignment vertical="center"/>
      <protection locked="0"/>
    </xf>
    <xf numFmtId="190" fontId="3" fillId="0" borderId="1" xfId="6" applyNumberFormat="1" applyFont="1" applyBorder="1" applyProtection="1">
      <alignment vertical="center"/>
      <protection locked="0"/>
    </xf>
    <xf numFmtId="0" fontId="3" fillId="7" borderId="1" xfId="14" applyFont="1" applyBorder="1" applyAlignment="1">
      <alignment vertical="center"/>
    </xf>
    <xf numFmtId="0" fontId="3" fillId="0" borderId="1" xfId="16" applyFont="1" applyBorder="1">
      <alignment vertical="center"/>
    </xf>
    <xf numFmtId="164" fontId="10" fillId="11" borderId="13" xfId="1" applyNumberFormat="1" applyFont="1" applyFill="1" applyBorder="1"/>
    <xf numFmtId="0" fontId="24" fillId="19" borderId="1" xfId="0" applyFont="1" applyFill="1" applyBorder="1"/>
    <xf numFmtId="168" fontId="27" fillId="19" borderId="1" xfId="0" applyNumberFormat="1" applyFont="1" applyFill="1" applyBorder="1"/>
    <xf numFmtId="164" fontId="40" fillId="0" borderId="0" xfId="0" applyNumberFormat="1" applyFont="1" applyFill="1"/>
    <xf numFmtId="9" fontId="39" fillId="0" borderId="0" xfId="2" applyFont="1" applyFill="1"/>
    <xf numFmtId="0" fontId="39" fillId="0" borderId="0" xfId="0" applyFont="1" applyFill="1"/>
    <xf numFmtId="10" fontId="9" fillId="0" borderId="0" xfId="0" applyNumberFormat="1" applyFont="1" applyFill="1" applyBorder="1"/>
    <xf numFmtId="9" fontId="9" fillId="0" borderId="0" xfId="0" applyNumberFormat="1" applyFont="1" applyFill="1" applyBorder="1"/>
    <xf numFmtId="193" fontId="9" fillId="0" borderId="0" xfId="0" applyNumberFormat="1" applyFont="1" applyFill="1" applyBorder="1"/>
    <xf numFmtId="170" fontId="9" fillId="0" borderId="0" xfId="2" applyNumberFormat="1" applyFont="1" applyFill="1" applyBorder="1"/>
    <xf numFmtId="183" fontId="9" fillId="0" borderId="0" xfId="0" applyNumberFormat="1" applyFont="1" applyFill="1" applyBorder="1"/>
    <xf numFmtId="1" fontId="9" fillId="0" borderId="0" xfId="0" applyNumberFormat="1" applyFont="1" applyFill="1" applyBorder="1"/>
    <xf numFmtId="44" fontId="8" fillId="0" borderId="0" xfId="1" applyFont="1" applyFill="1" applyBorder="1"/>
    <xf numFmtId="164" fontId="8" fillId="0" borderId="0" xfId="0" applyNumberFormat="1" applyFont="1" applyFill="1" applyBorder="1"/>
    <xf numFmtId="9" fontId="17" fillId="0" borderId="1" xfId="0" applyNumberFormat="1" applyFont="1" applyFill="1" applyBorder="1"/>
    <xf numFmtId="164" fontId="22" fillId="0" borderId="1" xfId="0" applyNumberFormat="1" applyFont="1" applyFill="1" applyBorder="1"/>
    <xf numFmtId="166" fontId="9" fillId="0" borderId="1" xfId="0" applyNumberFormat="1" applyFont="1" applyFill="1" applyBorder="1"/>
    <xf numFmtId="0" fontId="2" fillId="0" borderId="0" xfId="4"/>
    <xf numFmtId="0" fontId="21" fillId="0" borderId="0" xfId="0" applyFont="1"/>
    <xf numFmtId="2" fontId="11" fillId="0" borderId="0" xfId="0" applyNumberFormat="1" applyFont="1" applyFill="1" applyBorder="1" applyAlignment="1">
      <alignment wrapText="1"/>
    </xf>
    <xf numFmtId="10" fontId="9" fillId="0" borderId="1" xfId="0" applyNumberFormat="1" applyFont="1" applyFill="1" applyBorder="1"/>
    <xf numFmtId="169" fontId="9" fillId="0" borderId="1" xfId="0" applyNumberFormat="1" applyFont="1" applyFill="1" applyBorder="1"/>
    <xf numFmtId="9" fontId="9" fillId="0" borderId="0" xfId="2" applyFont="1" applyFill="1" applyBorder="1"/>
    <xf numFmtId="0" fontId="17" fillId="0" borderId="1" xfId="0" applyFont="1" applyFill="1" applyBorder="1" applyAlignment="1">
      <alignment horizontal="left"/>
    </xf>
    <xf numFmtId="194" fontId="0" fillId="18" borderId="1" xfId="0" applyNumberFormat="1" applyFill="1" applyBorder="1"/>
    <xf numFmtId="0" fontId="30" fillId="16" borderId="3" xfId="0" applyFont="1" applyFill="1" applyBorder="1" applyAlignment="1">
      <alignment horizontal="center"/>
    </xf>
    <xf numFmtId="0" fontId="30" fillId="16" borderId="4" xfId="0" applyFont="1" applyFill="1" applyBorder="1" applyAlignment="1">
      <alignment horizontal="center"/>
    </xf>
    <xf numFmtId="0" fontId="30" fillId="16" borderId="5" xfId="0" applyFont="1" applyFill="1" applyBorder="1" applyAlignment="1">
      <alignment horizontal="center"/>
    </xf>
  </cellXfs>
  <cellStyles count="19">
    <cellStyle name="_x000a_shell=progma" xfId="17" xr:uid="{00000000-0005-0000-0000-000000000000}"/>
    <cellStyle name="Column label" xfId="12" xr:uid="{00000000-0005-0000-0000-000001000000}"/>
    <cellStyle name="H4" xfId="9" xr:uid="{00000000-0005-0000-0000-000002000000}"/>
    <cellStyle name="Hipervínculo" xfId="4" builtinId="8"/>
    <cellStyle name="Input calculation" xfId="16" xr:uid="{00000000-0005-0000-0000-000004000000}"/>
    <cellStyle name="Input data" xfId="11" xr:uid="{00000000-0005-0000-0000-000005000000}"/>
    <cellStyle name="Input estimate" xfId="10" xr:uid="{00000000-0005-0000-0000-000006000000}"/>
    <cellStyle name="Input link" xfId="14" xr:uid="{00000000-0005-0000-0000-000007000000}"/>
    <cellStyle name="Input Link (different Worksheet)" xfId="18" xr:uid="{00000000-0005-0000-0000-000008000000}"/>
    <cellStyle name="Input parameter" xfId="13" xr:uid="{00000000-0005-0000-0000-000009000000}"/>
    <cellStyle name="Millares" xfId="3" builtinId="3"/>
    <cellStyle name="Moneda" xfId="1" builtinId="4"/>
    <cellStyle name="Name" xfId="7" xr:uid="{00000000-0005-0000-0000-00000C000000}"/>
    <cellStyle name="Normal" xfId="0" builtinId="0"/>
    <cellStyle name="Normal 2" xfId="5" xr:uid="{00000000-0005-0000-0000-00000E000000}"/>
    <cellStyle name="Number" xfId="6" xr:uid="{00000000-0005-0000-0000-00000F000000}"/>
    <cellStyle name="Number (2dp)" xfId="15" xr:uid="{00000000-0005-0000-0000-000010000000}"/>
    <cellStyle name="Percentage" xfId="8" xr:uid="{00000000-0005-0000-0000-000011000000}"/>
    <cellStyle name="Porcentaje" xfId="2" builtinId="5"/>
  </cellStyles>
  <dxfs count="27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 tint="-0.34998626667073579"/>
      </font>
    </dxf>
    <dxf>
      <font>
        <color theme="0" tint="-0.34998626667073579"/>
      </font>
    </dxf>
    <dxf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CCFF33"/>
      <color rgb="FFFF6699"/>
      <color rgb="FFCC99FF"/>
      <color rgb="FF3399FF"/>
      <color rgb="FFCCFFCC"/>
      <color rgb="FFC5E2FF"/>
      <color rgb="FFCCFFFF"/>
      <color rgb="FF71B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/>
              <a:t>Cargo de Datos OIMR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'1.Modelo'!$B$29</c:f>
              <c:strCache>
                <c:ptCount val="1"/>
                <c:pt idx="0">
                  <c:v>Contrato-Etapa 1. Hasta el 4.Set.2020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'1.Modelo'!$C$28</c:f>
              <c:strCache>
                <c:ptCount val="1"/>
                <c:pt idx="0">
                  <c:v>Valor (Soles/ MB)</c:v>
                </c:pt>
              </c:strCache>
            </c:strRef>
          </c:cat>
          <c:val>
            <c:numRef>
              <c:f>'1.Modelo'!$C$29</c:f>
              <c:numCache>
                <c:formatCode>_-[$S/-280A]* #,##0.00000_-;\-[$S/-280A]* #,##0.00000_-;_-[$S/-280A]* "-"??_-;_-@_-</c:formatCode>
                <c:ptCount val="1"/>
                <c:pt idx="0">
                  <c:v>1.7999999999999999E-2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ED-4149-AE6A-3F209A8EA71A}"/>
            </c:ext>
          </c:extLst>
        </c:ser>
        <c:ser>
          <c:idx val="1"/>
          <c:order val="1"/>
          <c:tx>
            <c:strRef>
              <c:f>'1.Modelo'!$B$30</c:f>
              <c:strCache>
                <c:ptCount val="1"/>
                <c:pt idx="0">
                  <c:v>Cargo ANDESAT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'1.Modelo'!$C$28</c:f>
              <c:strCache>
                <c:ptCount val="1"/>
                <c:pt idx="0">
                  <c:v>Valor (Soles/ MB)</c:v>
                </c:pt>
              </c:strCache>
            </c:strRef>
          </c:cat>
          <c:val>
            <c:numRef>
              <c:f>'1.Modelo'!$C$30</c:f>
              <c:numCache>
                <c:formatCode>_-[$S/-280A]* #,##0.00000_-;\-[$S/-280A]* #,##0.00000_-;_-[$S/-280A]* "-"??_-;_-@_-</c:formatCode>
                <c:ptCount val="1"/>
                <c:pt idx="0">
                  <c:v>1.3810997207261564E-2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ED-4149-AE6A-3F209A8EA71A}"/>
            </c:ext>
          </c:extLst>
        </c:ser>
        <c:ser>
          <c:idx val="2"/>
          <c:order val="2"/>
          <c:tx>
            <c:strRef>
              <c:f>'1.Modelo'!$B$31</c:f>
              <c:strCache>
                <c:ptCount val="1"/>
                <c:pt idx="0">
                  <c:v>Cargo OSIPTEL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'1.Modelo'!$C$28</c:f>
              <c:strCache>
                <c:ptCount val="1"/>
                <c:pt idx="0">
                  <c:v>Valor (Soles/ MB)</c:v>
                </c:pt>
              </c:strCache>
            </c:strRef>
          </c:cat>
          <c:val>
            <c:numRef>
              <c:f>'1.Modelo'!$C$31</c:f>
              <c:numCache>
                <c:formatCode>_-[$S/-280A]* #,##0.00000_-;\-[$S/-280A]* #,##0.00000_-;_-[$S/-280A]* "-"??_-;_-@_-</c:formatCode>
                <c:ptCount val="1"/>
                <c:pt idx="0">
                  <c:v>1.140031998375564E-2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ED-4149-AE6A-3F209A8EA71A}"/>
            </c:ext>
          </c:extLst>
        </c:ser>
        <c:ser>
          <c:idx val="3"/>
          <c:order val="3"/>
          <c:tx>
            <c:strRef>
              <c:f>'1.Modelo'!$B$32</c:f>
              <c:strCache>
                <c:ptCount val="1"/>
                <c:pt idx="0">
                  <c:v>Cargo TELEFÓNICA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'1.Modelo'!$C$28</c:f>
              <c:strCache>
                <c:ptCount val="1"/>
                <c:pt idx="0">
                  <c:v>Valor (Soles/ MB)</c:v>
                </c:pt>
              </c:strCache>
            </c:strRef>
          </c:cat>
          <c:val>
            <c:numRef>
              <c:f>'1.Modelo'!$C$32</c:f>
              <c:numCache>
                <c:formatCode>_-[$S/-280A]* #,##0.00000_-;\-[$S/-280A]* #,##0.00000_-;_-[$S/-280A]* "-"??_-;_-@_-</c:formatCode>
                <c:ptCount val="1"/>
                <c:pt idx="0">
                  <c:v>4.8300000000000001E-3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0ED-4149-AE6A-3F209A8EA7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9724008"/>
        <c:axId val="139724392"/>
      </c:barChart>
      <c:catAx>
        <c:axId val="139724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39724392"/>
        <c:crosses val="autoZero"/>
        <c:auto val="1"/>
        <c:lblAlgn val="ctr"/>
        <c:lblOffset val="100"/>
        <c:noMultiLvlLbl val="0"/>
      </c:catAx>
      <c:valAx>
        <c:axId val="13972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[$S/-280A]* #,##0.00000_-;\-[$S/-280A]* #,##0.00000_-;_-[$S/-280A]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39724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/>
              <a:t>Cargo de Voz OIMR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'1.Modelo'!$B$36</c:f>
              <c:strCache>
                <c:ptCount val="1"/>
                <c:pt idx="0">
                  <c:v>Contrato-Etapa 2. Hasta el 4.set.2021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'1.Modelo'!$C$35</c:f>
              <c:strCache>
                <c:ptCount val="1"/>
                <c:pt idx="0">
                  <c:v>Valor (Soles/ Minuto)</c:v>
                </c:pt>
              </c:strCache>
            </c:strRef>
          </c:cat>
          <c:val>
            <c:numRef>
              <c:f>'1.Modelo'!$C$36</c:f>
              <c:numCache>
                <c:formatCode>_-[$S/-280A]* #,##0.00000_-;\-[$S/-280A]* #,##0.00000_-;_-[$S/-280A]* "-"??_-;_-@_-</c:formatCode>
                <c:ptCount val="1"/>
                <c:pt idx="0">
                  <c:v>1.308E-2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A8-4111-B446-AA7753D796E5}"/>
            </c:ext>
          </c:extLst>
        </c:ser>
        <c:ser>
          <c:idx val="1"/>
          <c:order val="1"/>
          <c:tx>
            <c:strRef>
              <c:f>'1.Modelo'!$B$37</c:f>
              <c:strCache>
                <c:ptCount val="1"/>
                <c:pt idx="0">
                  <c:v>Cargo ANDESAT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'1.Modelo'!$C$35</c:f>
              <c:strCache>
                <c:ptCount val="1"/>
                <c:pt idx="0">
                  <c:v>Valor (Soles/ Minuto)</c:v>
                </c:pt>
              </c:strCache>
            </c:strRef>
          </c:cat>
          <c:val>
            <c:numRef>
              <c:f>'1.Modelo'!$C$37</c:f>
              <c:numCache>
                <c:formatCode>_-[$S/-280A]* #,##0.00000_-;\-[$S/-280A]* #,##0.00000_-;_-[$S/-280A]* "-"??_-;_-@_-</c:formatCode>
                <c:ptCount val="1"/>
                <c:pt idx="0">
                  <c:v>8.0574220456037533E-3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A8-4111-B446-AA7753D796E5}"/>
            </c:ext>
          </c:extLst>
        </c:ser>
        <c:ser>
          <c:idx val="2"/>
          <c:order val="2"/>
          <c:tx>
            <c:strRef>
              <c:f>'1.Modelo'!$B$38</c:f>
              <c:strCache>
                <c:ptCount val="1"/>
                <c:pt idx="0">
                  <c:v>Cargo OSIPTEL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'1.Modelo'!$C$35</c:f>
              <c:strCache>
                <c:ptCount val="1"/>
                <c:pt idx="0">
                  <c:v>Valor (Soles/ Minuto)</c:v>
                </c:pt>
              </c:strCache>
            </c:strRef>
          </c:cat>
          <c:val>
            <c:numRef>
              <c:f>'1.Modelo'!$C$38</c:f>
              <c:numCache>
                <c:formatCode>_-[$S/-280A]* #,##0.00000_-;\-[$S/-280A]* #,##0.00000_-;_-[$S/-280A]* "-"??_-;_-@_-</c:formatCode>
                <c:ptCount val="1"/>
                <c:pt idx="0">
                  <c:v>7.2268422623327786E-3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A8-4111-B446-AA7753D796E5}"/>
            </c:ext>
          </c:extLst>
        </c:ser>
        <c:ser>
          <c:idx val="3"/>
          <c:order val="3"/>
          <c:tx>
            <c:strRef>
              <c:f>'1.Modelo'!$B$39</c:f>
              <c:strCache>
                <c:ptCount val="1"/>
                <c:pt idx="0">
                  <c:v>Cargo TELEFÓNICA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'1.Modelo'!$C$35</c:f>
              <c:strCache>
                <c:ptCount val="1"/>
                <c:pt idx="0">
                  <c:v>Valor (Soles/ Minuto)</c:v>
                </c:pt>
              </c:strCache>
            </c:strRef>
          </c:cat>
          <c:val>
            <c:numRef>
              <c:f>'1.Modelo'!$C$39</c:f>
              <c:numCache>
                <c:formatCode>_-[$S/-280A]* #,##0.00000_-;\-[$S/-280A]* #,##0.00000_-;_-[$S/-280A]* "-"??_-;_-@_-</c:formatCode>
                <c:ptCount val="1"/>
                <c:pt idx="0">
                  <c:v>7.2268422623327786E-3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A8-4111-B446-AA7753D796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9724008"/>
        <c:axId val="139724392"/>
      </c:barChart>
      <c:catAx>
        <c:axId val="139724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39724392"/>
        <c:crosses val="autoZero"/>
        <c:auto val="1"/>
        <c:lblAlgn val="ctr"/>
        <c:lblOffset val="100"/>
        <c:noMultiLvlLbl val="0"/>
      </c:catAx>
      <c:valAx>
        <c:axId val="13972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[$S/-280A]* #,##0.00000_-;\-[$S/-280A]* #,##0.00000_-;_-[$S/-280A]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39724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/>
              <a:t>Tráfico Andesat 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'4.Demanda-Enlace'!$H$31</c:f>
              <c:strCache>
                <c:ptCount val="1"/>
                <c:pt idx="0">
                  <c:v>Voz (min)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'4.Demanda-Enlace'!$G$32:$G$38</c:f>
              <c:numCache>
                <c:formatCode>mmm\-yy</c:formatCode>
                <c:ptCount val="7"/>
                <c:pt idx="0">
                  <c:v>43952</c:v>
                </c:pt>
                <c:pt idx="1">
                  <c:v>43983</c:v>
                </c:pt>
                <c:pt idx="2">
                  <c:v>44013</c:v>
                </c:pt>
                <c:pt idx="3">
                  <c:v>44044</c:v>
                </c:pt>
                <c:pt idx="4">
                  <c:v>44075</c:v>
                </c:pt>
                <c:pt idx="5">
                  <c:v>44105</c:v>
                </c:pt>
                <c:pt idx="6">
                  <c:v>44136</c:v>
                </c:pt>
              </c:numCache>
            </c:numRef>
          </c:cat>
          <c:val>
            <c:numRef>
              <c:f>'4.Demanda-Enlace'!$H$32:$H$38</c:f>
              <c:numCache>
                <c:formatCode>#,##0</c:formatCode>
                <c:ptCount val="7"/>
                <c:pt idx="0">
                  <c:v>1356567.8500031803</c:v>
                </c:pt>
                <c:pt idx="1">
                  <c:v>1748828.18333667</c:v>
                </c:pt>
                <c:pt idx="2">
                  <c:v>2078229.6833364295</c:v>
                </c:pt>
                <c:pt idx="3">
                  <c:v>2689690.18334</c:v>
                </c:pt>
                <c:pt idx="4">
                  <c:v>2512746.4166723895</c:v>
                </c:pt>
                <c:pt idx="5">
                  <c:v>2907867.6000099797</c:v>
                </c:pt>
                <c:pt idx="6">
                  <c:v>2925293.2833403093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B8-4FE6-A616-A870737480E9}"/>
            </c:ext>
          </c:extLst>
        </c:ser>
        <c:ser>
          <c:idx val="1"/>
          <c:order val="1"/>
          <c:tx>
            <c:strRef>
              <c:f>'4.Demanda-Enlace'!$I$31</c:f>
              <c:strCache>
                <c:ptCount val="1"/>
                <c:pt idx="0">
                  <c:v>Datos (MB)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'4.Demanda-Enlace'!$G$32:$G$38</c:f>
              <c:numCache>
                <c:formatCode>mmm\-yy</c:formatCode>
                <c:ptCount val="7"/>
                <c:pt idx="0">
                  <c:v>43952</c:v>
                </c:pt>
                <c:pt idx="1">
                  <c:v>43983</c:v>
                </c:pt>
                <c:pt idx="2">
                  <c:v>44013</c:v>
                </c:pt>
                <c:pt idx="3">
                  <c:v>44044</c:v>
                </c:pt>
                <c:pt idx="4">
                  <c:v>44075</c:v>
                </c:pt>
                <c:pt idx="5">
                  <c:v>44105</c:v>
                </c:pt>
                <c:pt idx="6">
                  <c:v>44136</c:v>
                </c:pt>
              </c:numCache>
            </c:numRef>
          </c:cat>
          <c:val>
            <c:numRef>
              <c:f>'4.Demanda-Enlace'!$I$32:$I$38</c:f>
              <c:numCache>
                <c:formatCode>#,##0</c:formatCode>
                <c:ptCount val="7"/>
                <c:pt idx="0">
                  <c:v>7406475.4332049089</c:v>
                </c:pt>
                <c:pt idx="1">
                  <c:v>8567279.3885474019</c:v>
                </c:pt>
                <c:pt idx="2">
                  <c:v>10006465.432844723</c:v>
                </c:pt>
                <c:pt idx="3">
                  <c:v>12144233.917459626</c:v>
                </c:pt>
                <c:pt idx="4">
                  <c:v>13883708.435762752</c:v>
                </c:pt>
                <c:pt idx="5">
                  <c:v>18120540.540589232</c:v>
                </c:pt>
                <c:pt idx="6">
                  <c:v>19532032.214900967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B8-4FE6-A616-A87073748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840408"/>
        <c:axId val="139330912"/>
      </c:lineChart>
      <c:dateAx>
        <c:axId val="1408404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39330912"/>
        <c:crosses val="autoZero"/>
        <c:auto val="1"/>
        <c:lblOffset val="100"/>
        <c:baseTimeUnit val="months"/>
      </c:dateAx>
      <c:valAx>
        <c:axId val="139330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40840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34</xdr:row>
      <xdr:rowOff>0</xdr:rowOff>
    </xdr:from>
    <xdr:to>
      <xdr:col>9</xdr:col>
      <xdr:colOff>304800</xdr:colOff>
      <xdr:row>35</xdr:row>
      <xdr:rowOff>3483</xdr:rowOff>
    </xdr:to>
    <xdr:sp macro="" textlink="">
      <xdr:nvSpPr>
        <xdr:cNvPr id="7169" name="AutoShape 1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>
          <a:spLocks noChangeAspect="1" noChangeArrowheads="1"/>
        </xdr:cNvSpPr>
      </xdr:nvSpPr>
      <xdr:spPr bwMode="auto">
        <a:xfrm>
          <a:off x="11820525" y="900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1429310</xdr:colOff>
      <xdr:row>21</xdr:row>
      <xdr:rowOff>36418</xdr:rowOff>
    </xdr:from>
    <xdr:to>
      <xdr:col>8</xdr:col>
      <xdr:colOff>1047750</xdr:colOff>
      <xdr:row>31</xdr:row>
      <xdr:rowOff>180976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19049</xdr:colOff>
      <xdr:row>32</xdr:row>
      <xdr:rowOff>138393</xdr:rowOff>
    </xdr:from>
    <xdr:to>
      <xdr:col>8</xdr:col>
      <xdr:colOff>1057274</xdr:colOff>
      <xdr:row>43</xdr:row>
      <xdr:rowOff>85725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3CABD1-0587-4708-818D-DD0666DD81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866775</xdr:colOff>
      <xdr:row>14</xdr:row>
      <xdr:rowOff>38099</xdr:rowOff>
    </xdr:from>
    <xdr:to>
      <xdr:col>11</xdr:col>
      <xdr:colOff>66675</xdr:colOff>
      <xdr:row>29</xdr:row>
      <xdr:rowOff>123824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488"/>
        <a:stretch/>
      </xdr:blipFill>
      <xdr:spPr bwMode="auto">
        <a:xfrm>
          <a:off x="8572500" y="2581274"/>
          <a:ext cx="6638925" cy="2371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1000125</xdr:colOff>
      <xdr:row>39</xdr:row>
      <xdr:rowOff>14287</xdr:rowOff>
    </xdr:from>
    <xdr:to>
      <xdr:col>9</xdr:col>
      <xdr:colOff>771525</xdr:colOff>
      <xdr:row>53</xdr:row>
      <xdr:rowOff>14287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sbs.gob.pe/app/pp/sistip_portal/paginas/publicacion/tipocambiopromedio.aspx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AJ66"/>
  <sheetViews>
    <sheetView tabSelected="1" topLeftCell="A4" zoomScale="85" zoomScaleNormal="85" workbookViewId="0">
      <selection activeCell="F20" sqref="F20"/>
    </sheetView>
  </sheetViews>
  <sheetFormatPr baseColWidth="10" defaultColWidth="11.42578125" defaultRowHeight="14.25" x14ac:dyDescent="0.2"/>
  <cols>
    <col min="1" max="1" width="6.7109375" style="8" customWidth="1"/>
    <col min="2" max="2" width="58.28515625" style="8" customWidth="1"/>
    <col min="3" max="3" width="29.7109375" style="8" customWidth="1"/>
    <col min="4" max="4" width="30.140625" style="8" customWidth="1"/>
    <col min="5" max="5" width="21.5703125" style="8" customWidth="1"/>
    <col min="6" max="6" width="21.85546875" style="8" customWidth="1"/>
    <col min="7" max="7" width="20" style="8" customWidth="1"/>
    <col min="8" max="8" width="39.42578125" style="8" customWidth="1"/>
    <col min="9" max="9" width="18.85546875" style="8" customWidth="1"/>
    <col min="10" max="10" width="16.42578125" style="8" customWidth="1"/>
    <col min="11" max="12" width="15" style="8" customWidth="1"/>
    <col min="13" max="14" width="10.85546875" style="8" customWidth="1"/>
    <col min="15" max="15" width="30.42578125" style="8" bestFit="1" customWidth="1"/>
    <col min="16" max="16" width="7.5703125" style="8" customWidth="1"/>
    <col min="17" max="17" width="11.42578125" style="8"/>
    <col min="18" max="18" width="19.140625" style="8" customWidth="1"/>
    <col min="19" max="19" width="25.5703125" style="8" bestFit="1" customWidth="1"/>
    <col min="20" max="22" width="11.42578125" style="8"/>
    <col min="23" max="23" width="14" style="8" customWidth="1"/>
    <col min="24" max="16384" width="11.42578125" style="8"/>
  </cols>
  <sheetData>
    <row r="1" spans="1:36" ht="21" thickBot="1" x14ac:dyDescent="0.35">
      <c r="B1" s="157" t="s">
        <v>256</v>
      </c>
      <c r="C1" s="26"/>
      <c r="D1" s="26"/>
      <c r="H1" s="9"/>
      <c r="I1" s="9"/>
      <c r="J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</row>
    <row r="2" spans="1:36" ht="24.75" thickBot="1" x14ac:dyDescent="0.35">
      <c r="C2" s="277" t="s">
        <v>29</v>
      </c>
      <c r="D2" s="278"/>
      <c r="E2" s="278"/>
      <c r="F2" s="279"/>
      <c r="H2" s="49" t="s">
        <v>97</v>
      </c>
      <c r="I2" s="49" t="s">
        <v>148</v>
      </c>
      <c r="J2" s="9"/>
      <c r="K2" s="271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</row>
    <row r="3" spans="1:36" x14ac:dyDescent="0.2">
      <c r="A3" s="49" t="s">
        <v>5</v>
      </c>
      <c r="B3" s="49" t="s">
        <v>6</v>
      </c>
      <c r="C3" s="185" t="s">
        <v>7</v>
      </c>
      <c r="D3" s="186" t="s">
        <v>9</v>
      </c>
      <c r="E3" s="193" t="s">
        <v>3</v>
      </c>
      <c r="F3" s="194" t="s">
        <v>10</v>
      </c>
      <c r="H3" s="14" t="s">
        <v>98</v>
      </c>
      <c r="I3" s="32">
        <v>8</v>
      </c>
      <c r="J3" s="38" t="s">
        <v>32</v>
      </c>
      <c r="K3" s="16"/>
      <c r="M3" s="9"/>
      <c r="N3" s="9"/>
      <c r="O3" s="9"/>
      <c r="P3" s="9"/>
      <c r="Q3" s="11"/>
      <c r="R3" s="12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</row>
    <row r="4" spans="1:36" x14ac:dyDescent="0.2">
      <c r="A4" s="13">
        <v>1</v>
      </c>
      <c r="B4" s="182" t="s">
        <v>28</v>
      </c>
      <c r="C4" s="252">
        <v>69613</v>
      </c>
      <c r="D4" s="188">
        <f t="shared" ref="D4:D10" si="0">+C4/$C$11</f>
        <v>0.61847994615279922</v>
      </c>
      <c r="E4" s="187">
        <f>+'4.Demanda-Enlace'!E20</f>
        <v>58500.097058823529</v>
      </c>
      <c r="F4" s="188">
        <f t="shared" ref="F4:F10" si="1">+E4/$E$11</f>
        <v>0.62387206269485806</v>
      </c>
      <c r="G4" s="218" t="s">
        <v>279</v>
      </c>
      <c r="H4" s="14" t="s">
        <v>99</v>
      </c>
      <c r="I4" s="32">
        <v>5</v>
      </c>
      <c r="J4" s="38" t="s">
        <v>32</v>
      </c>
      <c r="K4" s="16"/>
      <c r="M4" s="9"/>
      <c r="N4" s="9"/>
      <c r="O4" s="9"/>
      <c r="P4" s="9"/>
      <c r="Q4" s="11"/>
      <c r="R4" s="12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</row>
    <row r="5" spans="1:36" x14ac:dyDescent="0.2">
      <c r="A5" s="13">
        <v>2</v>
      </c>
      <c r="B5" s="182" t="s">
        <v>166</v>
      </c>
      <c r="C5" s="252">
        <v>24272.191836734695</v>
      </c>
      <c r="D5" s="188">
        <f t="shared" si="0"/>
        <v>0.21564742074316703</v>
      </c>
      <c r="E5" s="187">
        <f>+SUM('2.Equipamiento'!H6:H10)</f>
        <v>18010.756787608538</v>
      </c>
      <c r="F5" s="188">
        <f t="shared" si="1"/>
        <v>0.19207503154195152</v>
      </c>
      <c r="H5" s="14" t="s">
        <v>281</v>
      </c>
      <c r="I5" s="37">
        <v>0.12</v>
      </c>
      <c r="J5" s="230" t="s">
        <v>278</v>
      </c>
      <c r="K5" s="274"/>
      <c r="M5" s="9"/>
      <c r="N5" s="9"/>
      <c r="O5" s="9"/>
      <c r="P5" s="9"/>
      <c r="Q5" s="11"/>
      <c r="R5" s="12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</row>
    <row r="6" spans="1:36" x14ac:dyDescent="0.2">
      <c r="A6" s="13">
        <v>3</v>
      </c>
      <c r="B6" s="182" t="s">
        <v>2</v>
      </c>
      <c r="C6" s="252">
        <v>1721.3755102040816</v>
      </c>
      <c r="D6" s="188">
        <f t="shared" si="0"/>
        <v>1.5293641027678275E-2</v>
      </c>
      <c r="E6" s="187">
        <f>+SUM('2.Equipamiento'!H11:H18)</f>
        <v>1555.0156619456934</v>
      </c>
      <c r="F6" s="188">
        <f t="shared" si="1"/>
        <v>1.6583405452564898E-2</v>
      </c>
      <c r="H6" s="14" t="s">
        <v>280</v>
      </c>
      <c r="I6" s="37">
        <v>0.12</v>
      </c>
      <c r="J6" s="230" t="s">
        <v>278</v>
      </c>
      <c r="K6" s="274"/>
      <c r="M6" s="9"/>
      <c r="N6" s="9"/>
      <c r="O6" s="9"/>
      <c r="P6" s="9"/>
      <c r="Q6" s="11"/>
      <c r="R6" s="12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</row>
    <row r="7" spans="1:36" x14ac:dyDescent="0.2">
      <c r="A7" s="13">
        <v>4</v>
      </c>
      <c r="B7" s="182" t="s">
        <v>216</v>
      </c>
      <c r="C7" s="252">
        <v>14697.2</v>
      </c>
      <c r="D7" s="188">
        <f t="shared" si="0"/>
        <v>0.13057795906794595</v>
      </c>
      <c r="E7" s="187">
        <f>+'3.Operación'!F13</f>
        <v>13444.139573413382</v>
      </c>
      <c r="F7" s="188">
        <f t="shared" si="1"/>
        <v>0.14337451574463511</v>
      </c>
      <c r="H7" s="5" t="s">
        <v>147</v>
      </c>
      <c r="I7" s="37">
        <v>0.1105</v>
      </c>
      <c r="J7" s="38" t="s">
        <v>146</v>
      </c>
      <c r="K7" s="25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</row>
    <row r="8" spans="1:36" x14ac:dyDescent="0.2">
      <c r="A8" s="13">
        <v>5</v>
      </c>
      <c r="B8" s="183" t="s">
        <v>163</v>
      </c>
      <c r="C8" s="252">
        <v>1125.6079679505319</v>
      </c>
      <c r="D8" s="189">
        <f t="shared" si="0"/>
        <v>1.0000516504204771E-2</v>
      </c>
      <c r="E8" s="187">
        <f>+'6.Estimación de Ingresos'!D12</f>
        <v>1129.6858923707957</v>
      </c>
      <c r="F8" s="188">
        <f t="shared" si="1"/>
        <v>1.2047492282995254E-2</v>
      </c>
      <c r="K8" s="29"/>
      <c r="M8" s="9"/>
      <c r="N8" s="9"/>
      <c r="O8" s="9"/>
      <c r="P8" s="9"/>
      <c r="Q8" s="9"/>
      <c r="R8" s="12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</row>
    <row r="9" spans="1:36" x14ac:dyDescent="0.2">
      <c r="A9" s="13">
        <v>6</v>
      </c>
      <c r="B9" s="183" t="s">
        <v>164</v>
      </c>
      <c r="C9" s="252">
        <v>562.80398397526596</v>
      </c>
      <c r="D9" s="190">
        <f t="shared" si="0"/>
        <v>5.0002582521023855E-3</v>
      </c>
      <c r="E9" s="187">
        <f>+'6.Estimación de Ingresos'!D13</f>
        <v>564.84294618539786</v>
      </c>
      <c r="F9" s="190">
        <f t="shared" si="1"/>
        <v>6.0237461414976269E-3</v>
      </c>
      <c r="J9" s="258"/>
      <c r="M9" s="9"/>
      <c r="N9" s="9"/>
      <c r="O9" s="9"/>
      <c r="P9" s="9"/>
      <c r="Q9" s="9"/>
      <c r="R9" s="12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</row>
    <row r="10" spans="1:36" x14ac:dyDescent="0.2">
      <c r="A10" s="13">
        <v>7</v>
      </c>
      <c r="B10" s="183" t="s">
        <v>165</v>
      </c>
      <c r="C10" s="252">
        <v>562.80398397526596</v>
      </c>
      <c r="D10" s="190">
        <f t="shared" si="0"/>
        <v>5.0002582521023855E-3</v>
      </c>
      <c r="E10" s="187">
        <f>+'6.Estimación de Ingresos'!D14</f>
        <v>564.84294618539786</v>
      </c>
      <c r="F10" s="190">
        <f t="shared" si="1"/>
        <v>6.0237461414976269E-3</v>
      </c>
      <c r="J10" s="16"/>
    </row>
    <row r="11" spans="1:36" ht="15.75" thickBot="1" x14ac:dyDescent="0.3">
      <c r="A11" s="17"/>
      <c r="B11" s="184" t="s">
        <v>4</v>
      </c>
      <c r="C11" s="191">
        <f>SUM(C4:C10)</f>
        <v>112554.98328283984</v>
      </c>
      <c r="D11" s="192"/>
      <c r="E11" s="191">
        <f>SUM(E4:E10)</f>
        <v>93769.380866532723</v>
      </c>
      <c r="F11" s="195"/>
      <c r="H11" s="40" t="s">
        <v>310</v>
      </c>
      <c r="I11" s="40" t="s">
        <v>11</v>
      </c>
      <c r="J11" s="16"/>
    </row>
    <row r="12" spans="1:36" ht="15" x14ac:dyDescent="0.25">
      <c r="H12" s="216" t="s">
        <v>314</v>
      </c>
      <c r="I12" s="217">
        <v>3411963</v>
      </c>
      <c r="J12" s="38" t="s">
        <v>328</v>
      </c>
      <c r="K12" s="230" t="s">
        <v>329</v>
      </c>
    </row>
    <row r="13" spans="1:36" ht="15" x14ac:dyDescent="0.25">
      <c r="B13" s="49" t="s">
        <v>11</v>
      </c>
      <c r="C13" s="181" t="s">
        <v>7</v>
      </c>
      <c r="D13" s="69"/>
      <c r="G13" s="133"/>
      <c r="H13" s="97" t="s">
        <v>313</v>
      </c>
      <c r="I13" s="217">
        <v>27916489</v>
      </c>
      <c r="J13" s="38" t="s">
        <v>327</v>
      </c>
      <c r="K13" s="230" t="s">
        <v>329</v>
      </c>
    </row>
    <row r="14" spans="1:36" ht="18" customHeight="1" x14ac:dyDescent="0.3">
      <c r="B14" s="131" t="s">
        <v>12</v>
      </c>
      <c r="C14" s="21">
        <v>3832444.6993703255</v>
      </c>
      <c r="D14" s="255"/>
      <c r="E14" s="26"/>
      <c r="F14" s="26"/>
      <c r="G14" s="134"/>
    </row>
    <row r="15" spans="1:36" ht="18" customHeight="1" x14ac:dyDescent="0.3">
      <c r="B15" s="131" t="s">
        <v>13</v>
      </c>
      <c r="C15" s="21">
        <v>33262866.149814826</v>
      </c>
      <c r="D15" s="256"/>
      <c r="E15" s="26"/>
      <c r="F15" s="26"/>
      <c r="G15" s="220"/>
      <c r="H15" s="40" t="s">
        <v>325</v>
      </c>
      <c r="I15" s="40" t="s">
        <v>11</v>
      </c>
    </row>
    <row r="16" spans="1:36" ht="18" customHeight="1" x14ac:dyDescent="0.3">
      <c r="B16" s="132" t="s">
        <v>14</v>
      </c>
      <c r="C16" s="18">
        <f>SUM(C14:C15)</f>
        <v>37095310.849185154</v>
      </c>
      <c r="D16" s="256"/>
      <c r="E16" s="26"/>
      <c r="F16" s="26"/>
      <c r="G16" s="221"/>
      <c r="H16" s="97" t="s">
        <v>333</v>
      </c>
      <c r="I16" s="276">
        <v>3.657</v>
      </c>
      <c r="J16" s="38" t="s">
        <v>324</v>
      </c>
      <c r="K16" s="270" t="s">
        <v>326</v>
      </c>
      <c r="L16" s="269" t="s">
        <v>100</v>
      </c>
    </row>
    <row r="17" spans="2:9" ht="20.25" x14ac:dyDescent="0.3">
      <c r="B17" s="24"/>
      <c r="C17" s="22" t="s">
        <v>15</v>
      </c>
      <c r="D17" s="257"/>
      <c r="E17" s="26"/>
      <c r="F17" s="26"/>
      <c r="I17" s="16"/>
    </row>
    <row r="18" spans="2:9" ht="15" x14ac:dyDescent="0.25">
      <c r="B18" s="24"/>
      <c r="C18" s="23"/>
      <c r="D18" s="25"/>
      <c r="I18" s="215"/>
    </row>
    <row r="19" spans="2:9" ht="15" x14ac:dyDescent="0.25">
      <c r="B19" s="15"/>
      <c r="C19" s="180" t="s">
        <v>7</v>
      </c>
      <c r="D19" s="179" t="s">
        <v>3</v>
      </c>
      <c r="I19" s="215"/>
    </row>
    <row r="20" spans="2:9" x14ac:dyDescent="0.2">
      <c r="B20" s="4" t="s">
        <v>101</v>
      </c>
      <c r="C20" s="268">
        <v>3.3595225510244624E-3</v>
      </c>
      <c r="D20" s="31">
        <f>+'7.Cargo de datos'!K7</f>
        <v>3.1173967688694669E-3</v>
      </c>
    </row>
    <row r="21" spans="2:9" x14ac:dyDescent="0.2">
      <c r="B21" s="5" t="s">
        <v>315</v>
      </c>
      <c r="C21" s="268">
        <v>1.9599664426182811E-3</v>
      </c>
      <c r="D21" s="268">
        <f>+'7.Cargo de datos'!K14</f>
        <v>1.9761668751251786E-3</v>
      </c>
    </row>
    <row r="22" spans="2:9" x14ac:dyDescent="0.2">
      <c r="B22" s="5" t="s">
        <v>115</v>
      </c>
      <c r="C22" s="273">
        <v>3.5</v>
      </c>
      <c r="D22" s="46" t="s">
        <v>108</v>
      </c>
    </row>
    <row r="23" spans="2:9" x14ac:dyDescent="0.2">
      <c r="B23" s="14" t="str">
        <f>+"TC " &amp;K16</f>
        <v>TC SBS al 22.02.2021</v>
      </c>
      <c r="C23" s="14">
        <f>+I16</f>
        <v>3.657</v>
      </c>
      <c r="D23" s="46" t="s">
        <v>107</v>
      </c>
    </row>
    <row r="24" spans="2:9" x14ac:dyDescent="0.2">
      <c r="B24" s="5" t="s">
        <v>332</v>
      </c>
      <c r="C24" s="5">
        <v>4.1109999999999998</v>
      </c>
      <c r="D24" s="46" t="s">
        <v>316</v>
      </c>
    </row>
    <row r="25" spans="2:9" ht="15" x14ac:dyDescent="0.25">
      <c r="B25" s="15"/>
      <c r="C25" s="10"/>
      <c r="D25" s="59"/>
    </row>
    <row r="26" spans="2:9" ht="15" x14ac:dyDescent="0.25">
      <c r="B26" s="15"/>
      <c r="C26" s="28"/>
      <c r="D26" s="59"/>
    </row>
    <row r="27" spans="2:9" x14ac:dyDescent="0.2">
      <c r="B27" s="29"/>
      <c r="C27" s="30"/>
      <c r="D27" s="30"/>
    </row>
    <row r="28" spans="2:9" ht="24" x14ac:dyDescent="0.2">
      <c r="B28" s="49" t="s">
        <v>320</v>
      </c>
      <c r="C28" s="49" t="s">
        <v>321</v>
      </c>
      <c r="D28" s="30"/>
      <c r="E28" s="40" t="s">
        <v>274</v>
      </c>
    </row>
    <row r="29" spans="2:9" ht="15" x14ac:dyDescent="0.25">
      <c r="B29" s="27" t="s">
        <v>331</v>
      </c>
      <c r="C29" s="47">
        <v>1.7999999999999999E-2</v>
      </c>
      <c r="D29" s="46" t="s">
        <v>117</v>
      </c>
      <c r="E29" s="209" t="s">
        <v>275</v>
      </c>
    </row>
    <row r="30" spans="2:9" ht="15" x14ac:dyDescent="0.25">
      <c r="B30" s="27" t="s">
        <v>317</v>
      </c>
      <c r="C30" s="47">
        <f>C20*C24</f>
        <v>1.3810997207261564E-2</v>
      </c>
      <c r="D30" s="46" t="s">
        <v>109</v>
      </c>
      <c r="E30" s="210">
        <f>+(C30-$C$29)/$C$29</f>
        <v>-0.2327223773743575</v>
      </c>
      <c r="F30" s="19"/>
    </row>
    <row r="31" spans="2:9" ht="15" x14ac:dyDescent="0.25">
      <c r="B31" s="27" t="s">
        <v>191</v>
      </c>
      <c r="C31" s="47">
        <f>+D20*C23</f>
        <v>1.140031998375564E-2</v>
      </c>
      <c r="D31" s="46" t="s">
        <v>116</v>
      </c>
      <c r="E31" s="210">
        <f>+(C31-$C$29)/$C$29</f>
        <v>-0.36664888979135329</v>
      </c>
      <c r="F31" s="19"/>
    </row>
    <row r="32" spans="2:9" ht="15" x14ac:dyDescent="0.25">
      <c r="B32" s="27" t="s">
        <v>190</v>
      </c>
      <c r="C32" s="47">
        <v>4.8300000000000001E-3</v>
      </c>
      <c r="D32" s="46" t="s">
        <v>118</v>
      </c>
      <c r="E32" s="210">
        <f>+(C32-$C$29)/$C$29</f>
        <v>-0.73166666666666658</v>
      </c>
    </row>
    <row r="35" spans="2:8" ht="24" x14ac:dyDescent="0.2">
      <c r="B35" s="49" t="s">
        <v>322</v>
      </c>
      <c r="C35" s="49" t="s">
        <v>323</v>
      </c>
      <c r="D35" s="30"/>
      <c r="E35" s="40" t="s">
        <v>274</v>
      </c>
    </row>
    <row r="36" spans="2:8" ht="15" x14ac:dyDescent="0.25">
      <c r="B36" s="27" t="s">
        <v>330</v>
      </c>
      <c r="C36" s="47">
        <v>1.308E-2</v>
      </c>
      <c r="D36" s="46" t="s">
        <v>117</v>
      </c>
      <c r="E36" s="209" t="s">
        <v>275</v>
      </c>
    </row>
    <row r="37" spans="2:8" ht="15" x14ac:dyDescent="0.25">
      <c r="B37" s="27" t="s">
        <v>317</v>
      </c>
      <c r="C37" s="47">
        <f>+C21*Tipo.de.cambio.AndesatNuevo</f>
        <v>8.0574220456037533E-3</v>
      </c>
      <c r="D37" s="46" t="s">
        <v>109</v>
      </c>
      <c r="E37" s="210">
        <f>+(C37-$C$36)/$C$36</f>
        <v>-0.38398914024436137</v>
      </c>
    </row>
    <row r="38" spans="2:8" ht="15" x14ac:dyDescent="0.25">
      <c r="B38" s="27" t="s">
        <v>191</v>
      </c>
      <c r="C38" s="47">
        <f>+D21*Tipo.de.cambio.Actual</f>
        <v>7.2268422623327786E-3</v>
      </c>
      <c r="D38" s="46" t="s">
        <v>116</v>
      </c>
      <c r="E38" s="210">
        <f>+(C38-$C$36)/$C$36</f>
        <v>-0.44748912367486399</v>
      </c>
    </row>
    <row r="39" spans="2:8" ht="15" x14ac:dyDescent="0.25">
      <c r="B39" s="27" t="s">
        <v>190</v>
      </c>
      <c r="C39" s="47">
        <v>7.2268422623327786E-3</v>
      </c>
      <c r="D39" s="46" t="s">
        <v>118</v>
      </c>
      <c r="E39" s="210">
        <f>+(C39-$C$36)/$C$36</f>
        <v>-0.44748912367486399</v>
      </c>
    </row>
    <row r="41" spans="2:8" x14ac:dyDescent="0.2">
      <c r="B41" s="16"/>
      <c r="C41" s="16"/>
      <c r="D41" s="16"/>
      <c r="E41" s="16"/>
      <c r="F41" s="16"/>
      <c r="G41" s="16"/>
      <c r="H41" s="16"/>
    </row>
    <row r="42" spans="2:8" x14ac:dyDescent="0.2">
      <c r="B42" s="16"/>
      <c r="C42" s="16"/>
      <c r="D42" s="16"/>
      <c r="E42" s="16"/>
      <c r="F42" s="16"/>
      <c r="G42" s="16"/>
      <c r="H42" s="16"/>
    </row>
    <row r="43" spans="2:8" x14ac:dyDescent="0.2">
      <c r="B43" s="259"/>
      <c r="C43" s="260"/>
      <c r="D43" s="260"/>
      <c r="E43" s="16"/>
      <c r="F43" s="16"/>
      <c r="G43" s="16"/>
      <c r="H43" s="16"/>
    </row>
    <row r="44" spans="2:8" x14ac:dyDescent="0.2">
      <c r="B44" s="258"/>
      <c r="C44" s="260"/>
      <c r="D44" s="260"/>
      <c r="E44" s="261"/>
      <c r="F44" s="261"/>
      <c r="G44" s="16"/>
      <c r="H44" s="16"/>
    </row>
    <row r="45" spans="2:8" x14ac:dyDescent="0.2">
      <c r="B45" s="259"/>
      <c r="C45" s="260"/>
      <c r="D45" s="260"/>
      <c r="E45" s="261"/>
      <c r="F45" s="261"/>
      <c r="G45" s="16"/>
      <c r="H45" s="16"/>
    </row>
    <row r="46" spans="2:8" x14ac:dyDescent="0.2">
      <c r="B46" s="259"/>
      <c r="C46" s="260"/>
      <c r="D46" s="260"/>
      <c r="E46" s="261"/>
      <c r="F46" s="261"/>
      <c r="G46" s="16"/>
      <c r="H46" s="16"/>
    </row>
    <row r="47" spans="2:8" x14ac:dyDescent="0.2">
      <c r="B47" s="259"/>
      <c r="C47" s="260"/>
      <c r="D47" s="260"/>
      <c r="E47" s="261"/>
      <c r="F47" s="261"/>
      <c r="G47" s="16"/>
      <c r="H47" s="16"/>
    </row>
    <row r="48" spans="2:8" x14ac:dyDescent="0.2">
      <c r="B48" s="16"/>
      <c r="C48" s="16"/>
      <c r="D48" s="16"/>
      <c r="E48" s="16"/>
      <c r="F48" s="16"/>
      <c r="G48" s="16"/>
      <c r="H48" s="16"/>
    </row>
    <row r="49" spans="2:8" x14ac:dyDescent="0.2">
      <c r="B49" s="16"/>
      <c r="C49" s="16"/>
      <c r="D49" s="16"/>
      <c r="E49" s="16"/>
      <c r="F49" s="16"/>
      <c r="G49" s="16"/>
      <c r="H49" s="16"/>
    </row>
    <row r="50" spans="2:8" x14ac:dyDescent="0.2">
      <c r="B50" s="16"/>
      <c r="C50" s="16"/>
      <c r="D50" s="16"/>
      <c r="E50" s="260"/>
      <c r="F50" s="260"/>
      <c r="G50" s="16"/>
      <c r="H50" s="16"/>
    </row>
    <row r="51" spans="2:8" x14ac:dyDescent="0.2">
      <c r="B51" s="16"/>
      <c r="C51" s="261"/>
      <c r="D51" s="16"/>
      <c r="E51" s="262"/>
      <c r="F51" s="262"/>
      <c r="G51" s="16"/>
      <c r="H51" s="16"/>
    </row>
    <row r="52" spans="2:8" ht="15" x14ac:dyDescent="0.25">
      <c r="B52" s="16"/>
      <c r="C52" s="16"/>
      <c r="D52" s="16"/>
      <c r="E52" s="263"/>
      <c r="F52" s="263"/>
      <c r="G52" s="264"/>
      <c r="H52" s="16"/>
    </row>
    <row r="53" spans="2:8" ht="15" x14ac:dyDescent="0.25">
      <c r="B53" s="16"/>
      <c r="C53" s="16"/>
      <c r="D53" s="16"/>
      <c r="E53" s="16"/>
      <c r="F53" s="16"/>
      <c r="G53" s="265"/>
      <c r="H53" s="16"/>
    </row>
    <row r="54" spans="2:8" x14ac:dyDescent="0.2">
      <c r="B54" s="16"/>
      <c r="C54" s="16"/>
      <c r="D54" s="16"/>
      <c r="E54" s="16"/>
      <c r="F54" s="16"/>
      <c r="G54" s="16"/>
      <c r="H54" s="16"/>
    </row>
    <row r="55" spans="2:8" x14ac:dyDescent="0.2">
      <c r="B55" s="16"/>
      <c r="C55" s="16"/>
      <c r="D55" s="16"/>
      <c r="E55" s="16"/>
      <c r="F55" s="16"/>
      <c r="G55" s="16"/>
      <c r="H55" s="16"/>
    </row>
    <row r="56" spans="2:8" x14ac:dyDescent="0.2">
      <c r="B56" s="16"/>
      <c r="C56" s="16"/>
      <c r="D56" s="16"/>
      <c r="E56" s="16"/>
      <c r="F56" s="16"/>
      <c r="G56" s="16"/>
      <c r="H56" s="16"/>
    </row>
    <row r="57" spans="2:8" x14ac:dyDescent="0.2">
      <c r="B57" s="16"/>
      <c r="C57" s="16"/>
      <c r="D57" s="16"/>
      <c r="E57" s="16"/>
      <c r="F57" s="16"/>
      <c r="G57" s="16"/>
      <c r="H57" s="16"/>
    </row>
    <row r="58" spans="2:8" x14ac:dyDescent="0.2">
      <c r="B58" s="16"/>
      <c r="C58" s="16"/>
      <c r="D58" s="16"/>
      <c r="E58" s="16"/>
      <c r="F58" s="16"/>
      <c r="G58" s="16"/>
      <c r="H58" s="16"/>
    </row>
    <row r="59" spans="2:8" x14ac:dyDescent="0.2">
      <c r="B59" s="16"/>
      <c r="C59" s="16"/>
      <c r="D59" s="16"/>
      <c r="E59" s="16"/>
      <c r="F59" s="16"/>
      <c r="G59" s="16"/>
      <c r="H59" s="16"/>
    </row>
    <row r="60" spans="2:8" x14ac:dyDescent="0.2">
      <c r="B60" s="16"/>
      <c r="C60" s="16"/>
      <c r="D60" s="16"/>
      <c r="E60" s="16"/>
      <c r="F60" s="16"/>
      <c r="G60" s="16"/>
      <c r="H60" s="16"/>
    </row>
    <row r="61" spans="2:8" x14ac:dyDescent="0.2">
      <c r="B61" s="16"/>
      <c r="C61" s="16"/>
      <c r="D61" s="16"/>
      <c r="E61" s="16"/>
      <c r="F61" s="16"/>
      <c r="G61" s="16"/>
      <c r="H61" s="16"/>
    </row>
    <row r="62" spans="2:8" x14ac:dyDescent="0.2">
      <c r="B62" s="16"/>
      <c r="C62" s="16"/>
      <c r="D62" s="16"/>
      <c r="E62" s="16"/>
      <c r="F62" s="16"/>
      <c r="G62" s="16"/>
      <c r="H62" s="16"/>
    </row>
    <row r="63" spans="2:8" x14ac:dyDescent="0.2">
      <c r="B63" s="16"/>
      <c r="C63" s="16"/>
      <c r="D63" s="16"/>
      <c r="E63" s="16"/>
      <c r="F63" s="16"/>
      <c r="G63" s="16"/>
      <c r="H63" s="16"/>
    </row>
    <row r="64" spans="2:8" x14ac:dyDescent="0.2">
      <c r="B64" s="16"/>
      <c r="C64" s="16"/>
      <c r="D64" s="16"/>
      <c r="E64" s="16"/>
      <c r="F64" s="16"/>
      <c r="G64" s="16"/>
      <c r="H64" s="16"/>
    </row>
    <row r="65" spans="2:8" x14ac:dyDescent="0.2">
      <c r="B65" s="16"/>
      <c r="C65" s="16"/>
      <c r="D65" s="16"/>
      <c r="E65" s="16"/>
      <c r="F65" s="16"/>
      <c r="G65" s="16"/>
      <c r="H65" s="16"/>
    </row>
    <row r="66" spans="2:8" x14ac:dyDescent="0.2">
      <c r="B66" s="16"/>
      <c r="C66" s="16"/>
      <c r="D66" s="16"/>
      <c r="E66" s="16"/>
      <c r="F66" s="16"/>
      <c r="G66" s="16"/>
      <c r="H66" s="16"/>
    </row>
  </sheetData>
  <mergeCells count="1">
    <mergeCell ref="C2:F2"/>
  </mergeCells>
  <hyperlinks>
    <hyperlink ref="L16" r:id="rId1" xr:uid="{65A9BE3F-C6FD-4447-AC90-D7D27472E157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3"/>
  <dimension ref="A1:R40"/>
  <sheetViews>
    <sheetView zoomScale="85" zoomScaleNormal="85" workbookViewId="0">
      <selection sqref="A1:XFD1048576"/>
    </sheetView>
  </sheetViews>
  <sheetFormatPr baseColWidth="10" defaultColWidth="11.42578125" defaultRowHeight="14.25" x14ac:dyDescent="0.2"/>
  <cols>
    <col min="1" max="1" width="19.28515625" style="8" customWidth="1"/>
    <col min="2" max="2" width="22" style="8" customWidth="1"/>
    <col min="3" max="3" width="23.28515625" style="8" bestFit="1" customWidth="1"/>
    <col min="4" max="4" width="20.140625" style="8" customWidth="1"/>
    <col min="5" max="5" width="15.140625" style="8" bestFit="1" customWidth="1"/>
    <col min="6" max="6" width="23.7109375" style="8" customWidth="1"/>
    <col min="7" max="7" width="16.7109375" style="8" customWidth="1"/>
    <col min="8" max="8" width="13.7109375" style="8" customWidth="1"/>
    <col min="9" max="12" width="10.85546875" style="8" customWidth="1"/>
    <col min="13" max="13" width="21.5703125" style="8" customWidth="1"/>
    <col min="14" max="14" width="12.5703125" style="8" customWidth="1"/>
    <col min="15" max="16384" width="11.42578125" style="8"/>
  </cols>
  <sheetData>
    <row r="1" spans="1:18" ht="20.25" x14ac:dyDescent="0.3">
      <c r="A1" s="157" t="s">
        <v>257</v>
      </c>
    </row>
    <row r="4" spans="1:18" x14ac:dyDescent="0.2">
      <c r="J4" s="26"/>
      <c r="O4" s="16"/>
    </row>
    <row r="5" spans="1:18" ht="24" x14ac:dyDescent="0.2">
      <c r="A5" s="49" t="s">
        <v>46</v>
      </c>
      <c r="B5" s="49" t="s">
        <v>45</v>
      </c>
      <c r="C5" s="49" t="s">
        <v>47</v>
      </c>
      <c r="D5" s="49" t="s">
        <v>155</v>
      </c>
      <c r="E5" s="49" t="s">
        <v>8</v>
      </c>
      <c r="F5" s="49" t="s">
        <v>92</v>
      </c>
      <c r="G5" s="49" t="s">
        <v>90</v>
      </c>
      <c r="H5" s="49" t="s">
        <v>215</v>
      </c>
      <c r="J5" s="211"/>
      <c r="M5" s="40" t="s">
        <v>61</v>
      </c>
      <c r="N5" s="40"/>
      <c r="O5" s="69"/>
    </row>
    <row r="6" spans="1:18" x14ac:dyDescent="0.2">
      <c r="A6" s="4" t="s">
        <v>36</v>
      </c>
      <c r="B6" s="4" t="s">
        <v>217</v>
      </c>
      <c r="C6" s="33">
        <f>+B28</f>
        <v>789634.51</v>
      </c>
      <c r="D6" s="35">
        <f>+Total.Sites</f>
        <v>49</v>
      </c>
      <c r="E6" s="35">
        <f t="shared" ref="E6:E18" si="0">+Total.Sites</f>
        <v>49</v>
      </c>
      <c r="F6" s="7">
        <f t="shared" ref="F6:F11" si="1">+C6/D6*E6</f>
        <v>789634.51</v>
      </c>
      <c r="G6" s="32">
        <f>+'1.Modelo'!$I$3</f>
        <v>8</v>
      </c>
      <c r="H6" s="6">
        <f t="shared" ref="H6:H18" si="2">+F6*(CTRL.WACCmensual/(1-((1/(1+CTRL.WACCmensual))^(G6*12))))</f>
        <v>12425.220033992713</v>
      </c>
      <c r="J6" s="212"/>
      <c r="M6" s="5" t="s">
        <v>43</v>
      </c>
      <c r="N6" s="5">
        <f>+CTRL.WACC/12</f>
        <v>9.208333333333334E-3</v>
      </c>
      <c r="O6" s="16"/>
      <c r="P6" s="230"/>
    </row>
    <row r="7" spans="1:18" x14ac:dyDescent="0.2">
      <c r="A7" s="4" t="s">
        <v>36</v>
      </c>
      <c r="B7" s="4" t="s">
        <v>218</v>
      </c>
      <c r="C7" s="33">
        <v>68868.33</v>
      </c>
      <c r="D7" s="35">
        <f>+Total.Sites</f>
        <v>49</v>
      </c>
      <c r="E7" s="35">
        <f t="shared" si="0"/>
        <v>49</v>
      </c>
      <c r="F7" s="7">
        <f t="shared" si="1"/>
        <v>68868.33</v>
      </c>
      <c r="G7" s="32">
        <f>+'1.Modelo'!$I$4</f>
        <v>5</v>
      </c>
      <c r="H7" s="6">
        <f t="shared" si="2"/>
        <v>1499.0822014951973</v>
      </c>
      <c r="J7" s="211"/>
      <c r="M7" s="5" t="s">
        <v>33</v>
      </c>
      <c r="N7" s="272">
        <f>+'1.Modelo'!I7</f>
        <v>0.1105</v>
      </c>
      <c r="O7" s="231" t="s">
        <v>33</v>
      </c>
      <c r="P7" s="230" t="s">
        <v>305</v>
      </c>
    </row>
    <row r="8" spans="1:18" x14ac:dyDescent="0.2">
      <c r="A8" s="4" t="s">
        <v>36</v>
      </c>
      <c r="B8" s="4" t="s">
        <v>42</v>
      </c>
      <c r="C8" s="33">
        <v>185672.21</v>
      </c>
      <c r="D8" s="35">
        <f>+Total.Sites</f>
        <v>49</v>
      </c>
      <c r="E8" s="35">
        <f t="shared" si="0"/>
        <v>49</v>
      </c>
      <c r="F8" s="7">
        <f>+C8/D8*E8</f>
        <v>185672.21</v>
      </c>
      <c r="G8" s="32">
        <f>+'1.Modelo'!$I$3</f>
        <v>8</v>
      </c>
      <c r="H8" s="6">
        <f>+F8*(CTRL.WACCmensual/(1-((1/(1+CTRL.WACCmensual))^(G8*12))))</f>
        <v>2921.627707795727</v>
      </c>
      <c r="J8" s="211"/>
      <c r="M8" s="5" t="s">
        <v>93</v>
      </c>
      <c r="N8" s="4">
        <v>49</v>
      </c>
      <c r="O8" s="231" t="s">
        <v>93</v>
      </c>
      <c r="P8" s="230" t="s">
        <v>278</v>
      </c>
      <c r="R8" s="133"/>
    </row>
    <row r="9" spans="1:18" x14ac:dyDescent="0.2">
      <c r="A9" s="4" t="s">
        <v>44</v>
      </c>
      <c r="B9" s="4" t="s">
        <v>263</v>
      </c>
      <c r="C9" s="33">
        <v>1028.57</v>
      </c>
      <c r="D9" s="35">
        <f>+Total.Sites</f>
        <v>49</v>
      </c>
      <c r="E9" s="35">
        <f t="shared" si="0"/>
        <v>49</v>
      </c>
      <c r="F9" s="7">
        <f t="shared" si="1"/>
        <v>1028.57</v>
      </c>
      <c r="G9" s="32">
        <f>+'1.Modelo'!$I$3</f>
        <v>8</v>
      </c>
      <c r="H9" s="6">
        <f t="shared" si="2"/>
        <v>16.184967106318446</v>
      </c>
      <c r="J9" s="211"/>
    </row>
    <row r="10" spans="1:18" x14ac:dyDescent="0.2">
      <c r="A10" s="4" t="s">
        <v>44</v>
      </c>
      <c r="B10" s="4" t="s">
        <v>266</v>
      </c>
      <c r="C10" s="33">
        <v>72997.279999999999</v>
      </c>
      <c r="D10" s="35">
        <f>+Total.Sites</f>
        <v>49</v>
      </c>
      <c r="E10" s="35">
        <f t="shared" si="0"/>
        <v>49</v>
      </c>
      <c r="F10" s="7">
        <f>+C10/D10*E10</f>
        <v>72997.279999999999</v>
      </c>
      <c r="G10" s="32">
        <f>+'1.Modelo'!$I$3</f>
        <v>8</v>
      </c>
      <c r="H10" s="6">
        <f>+F10*(CTRL.WACCmensual/(1-((1/(1+CTRL.WACCmensual))^(G10*12))))</f>
        <v>1148.6418772185825</v>
      </c>
      <c r="J10" s="211"/>
    </row>
    <row r="11" spans="1:18" x14ac:dyDescent="0.2">
      <c r="A11" s="13" t="s">
        <v>44</v>
      </c>
      <c r="B11" s="14" t="s">
        <v>37</v>
      </c>
      <c r="C11" s="164">
        <v>144833.56</v>
      </c>
      <c r="D11" s="165">
        <v>1000</v>
      </c>
      <c r="E11" s="35">
        <f t="shared" si="0"/>
        <v>49</v>
      </c>
      <c r="F11" s="7">
        <f t="shared" si="1"/>
        <v>7096.8444399999998</v>
      </c>
      <c r="G11" s="32">
        <f>+'1.Modelo'!$I$3</f>
        <v>8</v>
      </c>
      <c r="H11" s="6">
        <f t="shared" si="2"/>
        <v>111.67173242468569</v>
      </c>
      <c r="O11" s="16"/>
    </row>
    <row r="12" spans="1:18" x14ac:dyDescent="0.2">
      <c r="A12" s="13" t="s">
        <v>44</v>
      </c>
      <c r="B12" s="14" t="s">
        <v>39</v>
      </c>
      <c r="C12" s="164">
        <v>145926.07</v>
      </c>
      <c r="D12" s="165">
        <v>1000</v>
      </c>
      <c r="E12" s="35">
        <f t="shared" si="0"/>
        <v>49</v>
      </c>
      <c r="F12" s="7">
        <f>+C12/D12*E12</f>
        <v>7150.3774300000005</v>
      </c>
      <c r="G12" s="32">
        <f>+'1.Modelo'!$I$3</f>
        <v>8</v>
      </c>
      <c r="H12" s="6">
        <f>+F12*(CTRL.WACCmensual/(1-((1/(1+CTRL.WACCmensual))^(G12*12))))</f>
        <v>112.51409578571399</v>
      </c>
      <c r="O12" s="16"/>
    </row>
    <row r="13" spans="1:18" ht="67.5" customHeight="1" x14ac:dyDescent="0.2">
      <c r="A13" s="13" t="s">
        <v>30</v>
      </c>
      <c r="B13" s="166" t="s">
        <v>38</v>
      </c>
      <c r="C13" s="164">
        <v>130387.41</v>
      </c>
      <c r="D13" s="165">
        <v>1000</v>
      </c>
      <c r="E13" s="35">
        <f t="shared" si="0"/>
        <v>49</v>
      </c>
      <c r="F13" s="7">
        <f>+C13/D13*E13</f>
        <v>6388.9830900000006</v>
      </c>
      <c r="G13" s="32">
        <f>+'1.Modelo'!$I$3</f>
        <v>8</v>
      </c>
      <c r="H13" s="6">
        <f t="shared" si="2"/>
        <v>100.53324630747036</v>
      </c>
      <c r="O13" s="16"/>
    </row>
    <row r="14" spans="1:18" x14ac:dyDescent="0.2">
      <c r="A14" s="4" t="s">
        <v>30</v>
      </c>
      <c r="B14" s="4" t="s">
        <v>40</v>
      </c>
      <c r="C14" s="34">
        <v>11833</v>
      </c>
      <c r="D14" s="36">
        <v>1000</v>
      </c>
      <c r="E14" s="35">
        <f t="shared" si="0"/>
        <v>49</v>
      </c>
      <c r="F14" s="7">
        <f t="shared" ref="F14:F18" si="3">+C14/D14*E14</f>
        <v>579.81700000000001</v>
      </c>
      <c r="G14" s="32">
        <f>+'1.Modelo'!$I$4</f>
        <v>5</v>
      </c>
      <c r="H14" s="6">
        <f t="shared" si="2"/>
        <v>12.621089328350795</v>
      </c>
    </row>
    <row r="15" spans="1:18" x14ac:dyDescent="0.2">
      <c r="A15" s="4" t="s">
        <v>30</v>
      </c>
      <c r="B15" s="4" t="s">
        <v>26</v>
      </c>
      <c r="C15" s="34">
        <v>132395.82</v>
      </c>
      <c r="D15" s="36">
        <v>250</v>
      </c>
      <c r="E15" s="35">
        <f t="shared" si="0"/>
        <v>49</v>
      </c>
      <c r="F15" s="7">
        <f t="shared" si="3"/>
        <v>25949.580720000002</v>
      </c>
      <c r="G15" s="32">
        <f>+'1.Modelo'!$I$3</f>
        <v>8</v>
      </c>
      <c r="H15" s="6">
        <f t="shared" si="2"/>
        <v>408.32720220884858</v>
      </c>
    </row>
    <row r="16" spans="1:18" x14ac:dyDescent="0.2">
      <c r="A16" s="4" t="s">
        <v>30</v>
      </c>
      <c r="B16" s="4" t="s">
        <v>27</v>
      </c>
      <c r="C16" s="34">
        <v>70010.95</v>
      </c>
      <c r="D16" s="36">
        <v>250</v>
      </c>
      <c r="E16" s="35">
        <f t="shared" si="0"/>
        <v>49</v>
      </c>
      <c r="F16" s="7">
        <f t="shared" si="3"/>
        <v>13722.146199999999</v>
      </c>
      <c r="G16" s="32">
        <f>+'1.Modelo'!$I$4</f>
        <v>5</v>
      </c>
      <c r="H16" s="6">
        <f t="shared" si="2"/>
        <v>298.69498991386831</v>
      </c>
    </row>
    <row r="17" spans="1:14" x14ac:dyDescent="0.2">
      <c r="A17" s="4" t="s">
        <v>30</v>
      </c>
      <c r="B17" s="13" t="s">
        <v>41</v>
      </c>
      <c r="C17" s="34">
        <v>23210.16</v>
      </c>
      <c r="D17" s="36">
        <v>250</v>
      </c>
      <c r="E17" s="35">
        <f t="shared" si="0"/>
        <v>49</v>
      </c>
      <c r="F17" s="7">
        <f t="shared" si="3"/>
        <v>4549.1913599999998</v>
      </c>
      <c r="G17" s="32">
        <f>+'1.Modelo'!$I$4</f>
        <v>5</v>
      </c>
      <c r="H17" s="6">
        <f t="shared" si="2"/>
        <v>99.023917074390084</v>
      </c>
    </row>
    <row r="18" spans="1:14" x14ac:dyDescent="0.2">
      <c r="A18" s="4" t="s">
        <v>30</v>
      </c>
      <c r="B18" s="14" t="s">
        <v>42</v>
      </c>
      <c r="C18" s="34">
        <v>96481.58</v>
      </c>
      <c r="D18" s="36">
        <v>250</v>
      </c>
      <c r="E18" s="35">
        <f t="shared" si="0"/>
        <v>49</v>
      </c>
      <c r="F18" s="7">
        <f t="shared" si="3"/>
        <v>18910.38968</v>
      </c>
      <c r="G18" s="32">
        <f>+'1.Modelo'!$I$4</f>
        <v>5</v>
      </c>
      <c r="H18" s="6">
        <f t="shared" si="2"/>
        <v>411.62938890236575</v>
      </c>
    </row>
    <row r="19" spans="1:14" x14ac:dyDescent="0.2">
      <c r="C19" s="230" t="s">
        <v>278</v>
      </c>
      <c r="D19" s="230" t="s">
        <v>278</v>
      </c>
      <c r="E19" s="230" t="s">
        <v>278</v>
      </c>
      <c r="F19" s="218" t="s">
        <v>35</v>
      </c>
      <c r="G19" s="218" t="s">
        <v>34</v>
      </c>
      <c r="H19" s="133">
        <f>+SUM(H6:H18)</f>
        <v>19565.772449554232</v>
      </c>
    </row>
    <row r="20" spans="1:14" x14ac:dyDescent="0.2">
      <c r="H20" s="118">
        <f>+IF(H19=('1.Modelo'!E5+'1.Modelo'!E6),1,0)</f>
        <v>1</v>
      </c>
    </row>
    <row r="21" spans="1:14" x14ac:dyDescent="0.2">
      <c r="F21" s="8">
        <f>+SUM(Network.capex.by.element)</f>
        <v>1202548.2299200001</v>
      </c>
    </row>
    <row r="22" spans="1:14" ht="15" x14ac:dyDescent="0.25">
      <c r="A22" s="20" t="s">
        <v>151</v>
      </c>
    </row>
    <row r="23" spans="1:14" ht="15" x14ac:dyDescent="0.25">
      <c r="B23" s="3" t="s">
        <v>152</v>
      </c>
      <c r="C23" s="156" t="s">
        <v>159</v>
      </c>
    </row>
    <row r="24" spans="1:14" x14ac:dyDescent="0.2">
      <c r="A24" s="4" t="s">
        <v>160</v>
      </c>
      <c r="B24" s="33">
        <f>+'3.Operación'!B30+'3.Operación'!B31</f>
        <v>11659.99</v>
      </c>
      <c r="C24" s="154">
        <v>8136</v>
      </c>
      <c r="D24" s="230" t="s">
        <v>278</v>
      </c>
    </row>
    <row r="25" spans="1:14" x14ac:dyDescent="0.2">
      <c r="A25" s="4" t="s">
        <v>153</v>
      </c>
      <c r="B25" s="33">
        <f>+'3.Operación'!B32</f>
        <v>4455</v>
      </c>
      <c r="C25" s="154">
        <v>4455</v>
      </c>
      <c r="D25" s="230" t="s">
        <v>278</v>
      </c>
    </row>
    <row r="26" spans="1:14" x14ac:dyDescent="0.2">
      <c r="A26" s="4" t="s">
        <v>154</v>
      </c>
      <c r="B26" s="33">
        <f>+SUM(B24:B25)</f>
        <v>16114.99</v>
      </c>
      <c r="C26" s="154">
        <f>+C25+C24</f>
        <v>12591</v>
      </c>
      <c r="D26" s="230" t="s">
        <v>278</v>
      </c>
    </row>
    <row r="27" spans="1:14" x14ac:dyDescent="0.2">
      <c r="A27" s="4" t="s">
        <v>8</v>
      </c>
      <c r="B27" s="35">
        <f>+Total.Sites</f>
        <v>49</v>
      </c>
      <c r="C27" s="155">
        <f>+Total.Sites</f>
        <v>49</v>
      </c>
      <c r="D27" s="230" t="s">
        <v>278</v>
      </c>
    </row>
    <row r="28" spans="1:14" ht="15" x14ac:dyDescent="0.25">
      <c r="A28" s="4" t="s">
        <v>25</v>
      </c>
      <c r="B28" s="65">
        <f>+B27*B26</f>
        <v>789634.51</v>
      </c>
      <c r="C28" s="154">
        <f>+C26*C27</f>
        <v>616959</v>
      </c>
    </row>
    <row r="29" spans="1:14" x14ac:dyDescent="0.2">
      <c r="E29" s="39"/>
    </row>
    <row r="30" spans="1:14" ht="15" x14ac:dyDescent="0.25">
      <c r="A30" s="24" t="s">
        <v>156</v>
      </c>
      <c r="C30" s="60"/>
      <c r="D30" s="60"/>
      <c r="F30" s="57"/>
      <c r="G30" s="57"/>
      <c r="H30" s="57"/>
      <c r="I30" s="57"/>
      <c r="J30" s="57"/>
      <c r="K30" s="57"/>
      <c r="L30" s="57"/>
      <c r="M30" s="57"/>
      <c r="N30" s="57"/>
    </row>
    <row r="31" spans="1:14" x14ac:dyDescent="0.2">
      <c r="A31" s="4" t="s">
        <v>158</v>
      </c>
      <c r="B31" s="33">
        <v>336597.62</v>
      </c>
      <c r="C31" s="230" t="s">
        <v>278</v>
      </c>
      <c r="D31" s="61"/>
      <c r="E31" s="57"/>
      <c r="F31" s="57"/>
      <c r="G31" s="57"/>
      <c r="H31" s="57"/>
      <c r="I31" s="57"/>
      <c r="J31" s="57"/>
      <c r="K31" s="57"/>
      <c r="L31" s="57"/>
      <c r="M31" s="57"/>
      <c r="N31" s="57"/>
    </row>
    <row r="32" spans="1:14" x14ac:dyDescent="0.2">
      <c r="A32" s="4" t="s">
        <v>157</v>
      </c>
      <c r="B32" s="33">
        <v>135254.07999999999</v>
      </c>
      <c r="C32" s="230" t="s">
        <v>278</v>
      </c>
      <c r="D32" s="61"/>
      <c r="E32" s="57"/>
      <c r="F32" s="57"/>
      <c r="G32" s="57"/>
      <c r="H32" s="57"/>
      <c r="I32" s="57"/>
      <c r="J32" s="57"/>
      <c r="K32" s="57"/>
      <c r="L32" s="57"/>
      <c r="M32" s="57"/>
      <c r="N32" s="57"/>
    </row>
    <row r="33" spans="1:14" ht="15" x14ac:dyDescent="0.25">
      <c r="A33" s="3" t="s">
        <v>25</v>
      </c>
      <c r="B33" s="65">
        <f>SUM(B31:B32)</f>
        <v>471851.69999999995</v>
      </c>
      <c r="C33" s="230" t="s">
        <v>278</v>
      </c>
      <c r="D33" s="61"/>
      <c r="E33" s="62"/>
      <c r="F33" s="62"/>
      <c r="G33" s="57"/>
      <c r="H33" s="57"/>
      <c r="I33" s="57"/>
      <c r="J33" s="57"/>
      <c r="K33" s="57"/>
      <c r="L33" s="57"/>
      <c r="M33" s="57"/>
      <c r="N33" s="57"/>
    </row>
    <row r="34" spans="1:14" x14ac:dyDescent="0.2">
      <c r="A34" s="64" t="s">
        <v>167</v>
      </c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</row>
    <row r="35" spans="1:14" x14ac:dyDescent="0.2">
      <c r="C35" s="57"/>
      <c r="D35" s="57"/>
      <c r="E35" s="61"/>
      <c r="F35" s="61"/>
      <c r="G35" s="57"/>
      <c r="H35" s="57"/>
      <c r="I35" s="57"/>
      <c r="J35" s="57"/>
      <c r="K35" s="57"/>
      <c r="L35" s="57"/>
      <c r="M35" s="57"/>
      <c r="N35" s="57"/>
    </row>
    <row r="36" spans="1:14" x14ac:dyDescent="0.2">
      <c r="C36" s="57"/>
      <c r="D36" s="57"/>
      <c r="E36" s="61"/>
      <c r="F36" s="61"/>
      <c r="G36" s="57"/>
      <c r="H36" s="57"/>
      <c r="I36" s="57"/>
      <c r="J36" s="57"/>
      <c r="K36" s="57"/>
      <c r="L36" s="57"/>
      <c r="M36" s="57"/>
      <c r="N36" s="57"/>
    </row>
    <row r="37" spans="1:14" ht="15" x14ac:dyDescent="0.25"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63"/>
      <c r="N37" s="57"/>
    </row>
    <row r="38" spans="1:14" ht="15" x14ac:dyDescent="0.25">
      <c r="C38" s="57"/>
      <c r="D38" s="57"/>
      <c r="E38" s="63"/>
      <c r="F38" s="63"/>
      <c r="G38" s="61"/>
      <c r="H38" s="57"/>
      <c r="I38" s="57"/>
      <c r="J38" s="57"/>
      <c r="K38" s="57"/>
      <c r="L38" s="57"/>
      <c r="M38" s="57"/>
      <c r="N38" s="57"/>
    </row>
    <row r="39" spans="1:14" x14ac:dyDescent="0.2"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</row>
    <row r="40" spans="1:14" x14ac:dyDescent="0.2"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</row>
  </sheetData>
  <conditionalFormatting sqref="H20">
    <cfRule type="cellIs" dxfId="26" priority="1" operator="equal">
      <formula>1</formula>
    </cfRule>
    <cfRule type="cellIs" dxfId="25" priority="2" operator="equal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/>
  <dimension ref="A1:P34"/>
  <sheetViews>
    <sheetView workbookViewId="0">
      <selection sqref="A1:XFD1048576"/>
    </sheetView>
  </sheetViews>
  <sheetFormatPr baseColWidth="10" defaultColWidth="11.42578125" defaultRowHeight="12" x14ac:dyDescent="0.2"/>
  <cols>
    <col min="1" max="1" width="37.140625" style="58" customWidth="1"/>
    <col min="2" max="2" width="29.28515625" style="58" customWidth="1"/>
    <col min="3" max="3" width="24.28515625" style="58" bestFit="1" customWidth="1"/>
    <col min="4" max="4" width="15.5703125" style="58" customWidth="1"/>
    <col min="5" max="5" width="11.85546875" style="58" bestFit="1" customWidth="1"/>
    <col min="6" max="6" width="20.42578125" style="58" customWidth="1"/>
    <col min="7" max="7" width="16.5703125" style="58" customWidth="1"/>
    <col min="8" max="8" width="12.7109375" style="58" bestFit="1" customWidth="1"/>
    <col min="9" max="9" width="15.28515625" style="58" customWidth="1"/>
    <col min="10" max="13" width="11.42578125" style="58"/>
    <col min="14" max="14" width="11.5703125" style="58" bestFit="1" customWidth="1"/>
    <col min="15" max="15" width="11.85546875" style="58" bestFit="1" customWidth="1"/>
    <col min="16" max="16" width="11.5703125" style="58" bestFit="1" customWidth="1"/>
    <col min="17" max="16384" width="11.42578125" style="58"/>
  </cols>
  <sheetData>
    <row r="1" spans="1:16" ht="20.25" x14ac:dyDescent="0.3">
      <c r="A1" s="157" t="s">
        <v>258</v>
      </c>
    </row>
    <row r="3" spans="1:16" x14ac:dyDescent="0.2">
      <c r="N3" s="136"/>
      <c r="O3" s="136"/>
      <c r="P3" s="136"/>
    </row>
    <row r="4" spans="1:16" x14ac:dyDescent="0.2">
      <c r="A4" s="40" t="s">
        <v>46</v>
      </c>
      <c r="B4" s="40" t="s">
        <v>45</v>
      </c>
      <c r="C4" s="40" t="s">
        <v>92</v>
      </c>
      <c r="D4" s="40" t="s">
        <v>235</v>
      </c>
      <c r="E4" s="40" t="s">
        <v>236</v>
      </c>
      <c r="F4" s="40" t="s">
        <v>254</v>
      </c>
      <c r="G4" s="40" t="s">
        <v>86</v>
      </c>
      <c r="N4" s="137"/>
      <c r="O4" s="138"/>
      <c r="P4" s="139"/>
    </row>
    <row r="5" spans="1:16" x14ac:dyDescent="0.2">
      <c r="A5" s="41" t="s">
        <v>36</v>
      </c>
      <c r="B5" s="41" t="s">
        <v>237</v>
      </c>
      <c r="C5" s="140">
        <f>+'2.Equipamiento'!F6+'2.Equipamiento'!F8</f>
        <v>975306.72</v>
      </c>
      <c r="D5" s="148">
        <f>+(C24*(C31+C32)+C25*C30)</f>
        <v>0.12815599016816021</v>
      </c>
      <c r="E5" s="142">
        <f>+C5*D5</f>
        <v>124991.39841926057</v>
      </c>
      <c r="F5" s="146">
        <f>+E5/12</f>
        <v>10415.949868271715</v>
      </c>
      <c r="G5" s="87">
        <f>+F5/$F$13</f>
        <v>0.77475764152805293</v>
      </c>
      <c r="N5" s="137"/>
      <c r="O5" s="138"/>
      <c r="P5" s="139"/>
    </row>
    <row r="6" spans="1:16" x14ac:dyDescent="0.2">
      <c r="A6" s="41" t="s">
        <v>36</v>
      </c>
      <c r="B6" s="41" t="s">
        <v>218</v>
      </c>
      <c r="C6" s="140">
        <f>+'2.Equipamiento'!F7</f>
        <v>68868.33</v>
      </c>
      <c r="D6" s="148">
        <f>+C25</f>
        <v>0.1</v>
      </c>
      <c r="E6" s="142">
        <f>+C6*D6</f>
        <v>6886.8330000000005</v>
      </c>
      <c r="F6" s="146">
        <f>+E6/12</f>
        <v>573.90275000000008</v>
      </c>
      <c r="G6" s="87">
        <f>+F6/$F$13</f>
        <v>4.2687949412168281E-2</v>
      </c>
      <c r="N6" s="137"/>
      <c r="O6" s="138"/>
      <c r="P6" s="139"/>
    </row>
    <row r="7" spans="1:16" ht="14.25" x14ac:dyDescent="0.2">
      <c r="A7" s="4" t="s">
        <v>44</v>
      </c>
      <c r="B7" s="41" t="s">
        <v>219</v>
      </c>
      <c r="C7" s="140">
        <f>+'2.Equipamiento'!F10+'2.Equipamiento'!F9</f>
        <v>74025.850000000006</v>
      </c>
      <c r="D7" s="148">
        <f>+C20</f>
        <v>0.1</v>
      </c>
      <c r="E7" s="142">
        <f>+C7*D7</f>
        <v>7402.5850000000009</v>
      </c>
      <c r="F7" s="146">
        <f>+E7/12</f>
        <v>616.88208333333341</v>
      </c>
      <c r="G7" s="99">
        <f>+F7/$F$13</f>
        <v>4.588483182317267E-2</v>
      </c>
      <c r="N7" s="137"/>
      <c r="O7" s="138"/>
      <c r="P7" s="139"/>
    </row>
    <row r="8" spans="1:16" ht="14.25" x14ac:dyDescent="0.2">
      <c r="A8" s="4" t="s">
        <v>44</v>
      </c>
      <c r="B8" s="78" t="s">
        <v>220</v>
      </c>
      <c r="C8" s="140">
        <f>+'2.Equipamiento'!F11+'2.Equipamiento'!F12</f>
        <v>14247.221870000001</v>
      </c>
      <c r="D8" s="148">
        <f>+C20</f>
        <v>0.1</v>
      </c>
      <c r="E8" s="142">
        <f t="shared" ref="E8:E12" si="0">+C8*D8</f>
        <v>1424.7221870000003</v>
      </c>
      <c r="F8" s="146">
        <f t="shared" ref="F8:F12" si="1">+E8/12</f>
        <v>118.7268489166667</v>
      </c>
      <c r="G8" s="99">
        <f t="shared" ref="G8:G12" si="2">+F8/$F$13</f>
        <v>8.8311229043959334E-3</v>
      </c>
      <c r="N8" s="137"/>
      <c r="O8" s="138"/>
      <c r="P8" s="139"/>
    </row>
    <row r="9" spans="1:16" ht="24" x14ac:dyDescent="0.2">
      <c r="A9" s="41" t="s">
        <v>30</v>
      </c>
      <c r="B9" s="141" t="s">
        <v>255</v>
      </c>
      <c r="C9" s="140">
        <f>+'2.Equipamiento'!F13+'2.Equipamiento'!F17+'2.Equipamiento'!F18</f>
        <v>29848.564129999999</v>
      </c>
      <c r="D9" s="148">
        <f>+C21</f>
        <v>0.23</v>
      </c>
      <c r="E9" s="142">
        <f t="shared" si="0"/>
        <v>6865.1697499000002</v>
      </c>
      <c r="F9" s="146">
        <f t="shared" si="1"/>
        <v>572.09747915833339</v>
      </c>
      <c r="G9" s="87">
        <f t="shared" si="2"/>
        <v>4.2553670023605793E-2</v>
      </c>
      <c r="N9" s="137"/>
      <c r="O9" s="138"/>
      <c r="P9" s="139"/>
    </row>
    <row r="10" spans="1:16" x14ac:dyDescent="0.2">
      <c r="A10" s="41" t="s">
        <v>30</v>
      </c>
      <c r="B10" s="41" t="s">
        <v>40</v>
      </c>
      <c r="C10" s="140">
        <f>+'2.Equipamiento'!F14</f>
        <v>579.81700000000001</v>
      </c>
      <c r="D10" s="148">
        <f>+C21</f>
        <v>0.23</v>
      </c>
      <c r="E10" s="142">
        <f t="shared" si="0"/>
        <v>133.35791</v>
      </c>
      <c r="F10" s="146">
        <f t="shared" si="1"/>
        <v>11.113159166666668</v>
      </c>
      <c r="G10" s="87">
        <f t="shared" si="2"/>
        <v>8.2661736037340969E-4</v>
      </c>
      <c r="N10" s="137"/>
      <c r="O10" s="138"/>
      <c r="P10" s="139"/>
    </row>
    <row r="11" spans="1:16" x14ac:dyDescent="0.2">
      <c r="A11" s="41" t="s">
        <v>30</v>
      </c>
      <c r="B11" s="41" t="s">
        <v>26</v>
      </c>
      <c r="C11" s="140">
        <f>+'2.Equipamiento'!F15</f>
        <v>25949.580720000002</v>
      </c>
      <c r="D11" s="148">
        <f>+C19</f>
        <v>0.34</v>
      </c>
      <c r="E11" s="142">
        <f t="shared" si="0"/>
        <v>8822.8574448000018</v>
      </c>
      <c r="F11" s="146">
        <f t="shared" si="1"/>
        <v>735.23812040000018</v>
      </c>
      <c r="G11" s="87">
        <f t="shared" si="2"/>
        <v>5.4688373055422533E-2</v>
      </c>
      <c r="N11" s="137"/>
      <c r="O11" s="138"/>
      <c r="P11" s="139"/>
    </row>
    <row r="12" spans="1:16" x14ac:dyDescent="0.2">
      <c r="A12" s="41" t="s">
        <v>30</v>
      </c>
      <c r="B12" s="41" t="s">
        <v>27</v>
      </c>
      <c r="C12" s="140">
        <f>+'2.Equipamiento'!F16</f>
        <v>13722.146199999999</v>
      </c>
      <c r="D12" s="148">
        <f>+C22</f>
        <v>0.35</v>
      </c>
      <c r="E12" s="142">
        <f t="shared" si="0"/>
        <v>4802.7511699999995</v>
      </c>
      <c r="F12" s="146">
        <f t="shared" si="1"/>
        <v>400.22926416666661</v>
      </c>
      <c r="G12" s="87">
        <f t="shared" si="2"/>
        <v>2.9769793892808486E-2</v>
      </c>
      <c r="N12" s="137"/>
      <c r="O12" s="138"/>
      <c r="P12" s="139"/>
    </row>
    <row r="13" spans="1:16" x14ac:dyDescent="0.2">
      <c r="A13" s="143"/>
      <c r="B13" s="41" t="s">
        <v>230</v>
      </c>
      <c r="C13" s="41">
        <f>+IF(SUM(C5:C6)=SUM('2.Equipamiento'!F6:F8),1,0)</f>
        <v>1</v>
      </c>
      <c r="D13" s="144"/>
      <c r="E13" s="145"/>
      <c r="F13" s="147">
        <f>+SUM(F5:F12)</f>
        <v>13444.139573413382</v>
      </c>
      <c r="N13" s="137"/>
      <c r="O13" s="138"/>
      <c r="P13" s="139"/>
    </row>
    <row r="14" spans="1:16" x14ac:dyDescent="0.2">
      <c r="A14" s="143"/>
      <c r="B14" s="41" t="s">
        <v>264</v>
      </c>
      <c r="C14" s="41">
        <f>+IF(SUM(C7:C8)=SUM('2.Equipamiento'!F9:F12),1,0)</f>
        <v>1</v>
      </c>
      <c r="D14" s="144"/>
      <c r="E14" s="143"/>
      <c r="N14" s="137"/>
      <c r="O14" s="138"/>
      <c r="P14" s="139"/>
    </row>
    <row r="15" spans="1:16" x14ac:dyDescent="0.2">
      <c r="B15" s="41" t="s">
        <v>231</v>
      </c>
      <c r="C15" s="41">
        <f>+IF(SUM(C8:C12)=SUM('2.Equipamiento'!F11:F18),1,0)</f>
        <v>1</v>
      </c>
      <c r="N15" s="137"/>
      <c r="O15" s="138"/>
      <c r="P15" s="139"/>
    </row>
    <row r="17" spans="1:14" x14ac:dyDescent="0.2">
      <c r="A17" s="49" t="s">
        <v>225</v>
      </c>
      <c r="B17" s="49" t="s">
        <v>226</v>
      </c>
      <c r="C17" s="203" t="s">
        <v>235</v>
      </c>
      <c r="N17" s="139"/>
    </row>
    <row r="18" spans="1:14" x14ac:dyDescent="0.2">
      <c r="A18" s="196" t="s">
        <v>224</v>
      </c>
      <c r="B18" s="204" t="s">
        <v>223</v>
      </c>
      <c r="C18" s="206">
        <v>0.15</v>
      </c>
      <c r="D18" s="229" t="s">
        <v>311</v>
      </c>
    </row>
    <row r="19" spans="1:14" x14ac:dyDescent="0.2">
      <c r="A19" s="197" t="s">
        <v>276</v>
      </c>
      <c r="B19" s="200" t="s">
        <v>227</v>
      </c>
      <c r="C19" s="206">
        <v>0.34</v>
      </c>
      <c r="D19" s="229" t="s">
        <v>311</v>
      </c>
    </row>
    <row r="20" spans="1:14" x14ac:dyDescent="0.2">
      <c r="A20" s="197" t="s">
        <v>221</v>
      </c>
      <c r="B20" s="199" t="s">
        <v>228</v>
      </c>
      <c r="C20" s="206">
        <v>0.1</v>
      </c>
      <c r="D20" s="229" t="s">
        <v>311</v>
      </c>
    </row>
    <row r="21" spans="1:14" x14ac:dyDescent="0.2">
      <c r="A21" s="198" t="s">
        <v>234</v>
      </c>
      <c r="B21" s="200" t="s">
        <v>229</v>
      </c>
      <c r="C21" s="206">
        <v>0.23</v>
      </c>
      <c r="D21" s="229" t="s">
        <v>311</v>
      </c>
    </row>
    <row r="22" spans="1:14" x14ac:dyDescent="0.2">
      <c r="A22" s="198" t="s">
        <v>233</v>
      </c>
      <c r="B22" s="199" t="s">
        <v>232</v>
      </c>
      <c r="C22" s="206">
        <v>0.35</v>
      </c>
      <c r="D22" s="229" t="s">
        <v>311</v>
      </c>
    </row>
    <row r="23" spans="1:14" x14ac:dyDescent="0.2">
      <c r="A23" s="198" t="s">
        <v>222</v>
      </c>
      <c r="B23" s="205" t="s">
        <v>223</v>
      </c>
      <c r="C23" s="206">
        <v>0.15</v>
      </c>
      <c r="D23" s="229" t="s">
        <v>311</v>
      </c>
    </row>
    <row r="24" spans="1:14" x14ac:dyDescent="0.2">
      <c r="A24" s="198" t="s">
        <v>224</v>
      </c>
      <c r="B24" s="201" t="s">
        <v>223</v>
      </c>
      <c r="C24" s="206">
        <v>0.15</v>
      </c>
      <c r="D24" s="229" t="s">
        <v>311</v>
      </c>
    </row>
    <row r="25" spans="1:14" x14ac:dyDescent="0.2">
      <c r="A25" s="202" t="s">
        <v>238</v>
      </c>
      <c r="B25" s="207" t="s">
        <v>239</v>
      </c>
      <c r="C25" s="206">
        <v>0.1</v>
      </c>
      <c r="D25" s="229" t="s">
        <v>311</v>
      </c>
    </row>
    <row r="26" spans="1:14" x14ac:dyDescent="0.2">
      <c r="D26" s="229"/>
    </row>
    <row r="29" spans="1:14" x14ac:dyDescent="0.2">
      <c r="A29" s="49" t="s">
        <v>242</v>
      </c>
      <c r="B29" s="49" t="s">
        <v>47</v>
      </c>
      <c r="C29" s="49" t="s">
        <v>86</v>
      </c>
    </row>
    <row r="30" spans="1:14" x14ac:dyDescent="0.2">
      <c r="A30" s="41" t="s">
        <v>240</v>
      </c>
      <c r="B30" s="44">
        <v>7040.32</v>
      </c>
      <c r="C30" s="87">
        <f>+B30/$B$33</f>
        <v>0.43688019663679589</v>
      </c>
      <c r="D30" s="76"/>
    </row>
    <row r="31" spans="1:14" x14ac:dyDescent="0.2">
      <c r="A31" s="41" t="s">
        <v>241</v>
      </c>
      <c r="B31" s="44">
        <v>4619.67</v>
      </c>
      <c r="C31" s="87">
        <f>+B31/$B$33</f>
        <v>0.28666911986914045</v>
      </c>
      <c r="D31" s="76"/>
    </row>
    <row r="32" spans="1:14" x14ac:dyDescent="0.2">
      <c r="A32" s="41" t="s">
        <v>153</v>
      </c>
      <c r="B32" s="44">
        <v>4455</v>
      </c>
      <c r="C32" s="87">
        <f>+B32/$B$33</f>
        <v>0.2764506834940636</v>
      </c>
      <c r="D32" s="75"/>
    </row>
    <row r="33" spans="1:2" x14ac:dyDescent="0.2">
      <c r="A33" s="82" t="s">
        <v>25</v>
      </c>
      <c r="B33" s="149">
        <f>+SUM(B30:B32)</f>
        <v>16114.99</v>
      </c>
    </row>
    <row r="34" spans="1:2" x14ac:dyDescent="0.2">
      <c r="B34" s="230" t="s">
        <v>278</v>
      </c>
    </row>
  </sheetData>
  <conditionalFormatting sqref="A18 A25">
    <cfRule type="containsText" dxfId="24" priority="31" operator="containsText" text="Asset">
      <formula>NOT(ISERROR(SEARCH("Asset",A18)))</formula>
    </cfRule>
  </conditionalFormatting>
  <conditionalFormatting sqref="B18 B23:B25">
    <cfRule type="cellIs" dxfId="23" priority="33" operator="equal">
      <formula>"Spare"</formula>
    </cfRule>
  </conditionalFormatting>
  <conditionalFormatting sqref="B19">
    <cfRule type="cellIs" dxfId="22" priority="26" operator="equal">
      <formula>"Spare"</formula>
    </cfRule>
  </conditionalFormatting>
  <conditionalFormatting sqref="B19">
    <cfRule type="cellIs" dxfId="21" priority="27" operator="equal">
      <formula>"Spare"</formula>
    </cfRule>
  </conditionalFormatting>
  <conditionalFormatting sqref="A19">
    <cfRule type="containsText" dxfId="20" priority="25" operator="containsText" text="Asset">
      <formula>NOT(ISERROR(SEARCH("Asset",A19)))</formula>
    </cfRule>
  </conditionalFormatting>
  <conditionalFormatting sqref="B20">
    <cfRule type="cellIs" dxfId="19" priority="24" operator="equal">
      <formula>"Spare"</formula>
    </cfRule>
  </conditionalFormatting>
  <conditionalFormatting sqref="A20">
    <cfRule type="containsText" dxfId="18" priority="23" operator="containsText" text="Asset">
      <formula>NOT(ISERROR(SEARCH("Asset",A20)))</formula>
    </cfRule>
  </conditionalFormatting>
  <conditionalFormatting sqref="B20">
    <cfRule type="cellIs" dxfId="17" priority="22" operator="equal">
      <formula>"Spare"</formula>
    </cfRule>
  </conditionalFormatting>
  <conditionalFormatting sqref="B21">
    <cfRule type="cellIs" dxfId="16" priority="21" operator="equal">
      <formula>"Spare"</formula>
    </cfRule>
  </conditionalFormatting>
  <conditionalFormatting sqref="B21">
    <cfRule type="cellIs" dxfId="15" priority="19" operator="equal">
      <formula>"Spare"</formula>
    </cfRule>
  </conditionalFormatting>
  <conditionalFormatting sqref="C13">
    <cfRule type="cellIs" dxfId="14" priority="16" operator="equal">
      <formula>1</formula>
    </cfRule>
    <cfRule type="cellIs" dxfId="13" priority="17" operator="equal">
      <formula>0</formula>
    </cfRule>
  </conditionalFormatting>
  <conditionalFormatting sqref="B22">
    <cfRule type="cellIs" dxfId="12" priority="15" operator="equal">
      <formula>"Spare"</formula>
    </cfRule>
  </conditionalFormatting>
  <conditionalFormatting sqref="B22">
    <cfRule type="cellIs" dxfId="11" priority="13" operator="equal">
      <formula>"Spare"</formula>
    </cfRule>
  </conditionalFormatting>
  <conditionalFormatting sqref="C15">
    <cfRule type="cellIs" dxfId="10" priority="11" operator="equal">
      <formula>1</formula>
    </cfRule>
    <cfRule type="cellIs" dxfId="9" priority="12" operator="equal">
      <formula>0</formula>
    </cfRule>
  </conditionalFormatting>
  <conditionalFormatting sqref="B23:B24">
    <cfRule type="cellIs" dxfId="8" priority="8" operator="equal">
      <formula>"Spare"</formula>
    </cfRule>
  </conditionalFormatting>
  <conditionalFormatting sqref="A23:A24">
    <cfRule type="containsText" dxfId="7" priority="7" operator="containsText" text="Asset">
      <formula>NOT(ISERROR(SEARCH("Asset",A23)))</formula>
    </cfRule>
  </conditionalFormatting>
  <conditionalFormatting sqref="C5:C12">
    <cfRule type="dataBar" priority="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{66B044A3-145B-4764-9C77-95C10F926880}</x14:id>
        </ext>
      </extLst>
    </cfRule>
  </conditionalFormatting>
  <conditionalFormatting sqref="G5:G12">
    <cfRule type="dataBar" priority="4">
      <dataBar>
        <cfvo type="min"/>
        <cfvo type="max"/>
        <color rgb="FFD6007B"/>
      </dataBar>
      <extLst>
        <ext xmlns:x14="http://schemas.microsoft.com/office/spreadsheetml/2009/9/main" uri="{B025F937-C7B1-47D3-B67F-A62EFF666E3E}">
          <x14:id>{BB68EAB8-B704-4C82-B26A-F4C0E42DBB6B}</x14:id>
        </ext>
      </extLst>
    </cfRule>
  </conditionalFormatting>
  <conditionalFormatting sqref="C14">
    <cfRule type="cellIs" dxfId="6" priority="2" operator="equal">
      <formula>1</formula>
    </cfRule>
    <cfRule type="cellIs" dxfId="5" priority="3" operator="equal">
      <formula>0</formula>
    </cfRule>
  </conditionalFormatting>
  <conditionalFormatting sqref="A21:A22">
    <cfRule type="containsText" dxfId="4" priority="1" operator="containsText" text="Asset">
      <formula>NOT(ISERROR(SEARCH("Asset",A21)))</formula>
    </cfRule>
  </conditionalFormatting>
  <dataValidations count="1">
    <dataValidation type="list" allowBlank="1" showInputMessage="1" showErrorMessage="1" sqref="B18:B25" xr:uid="{00000000-0002-0000-0200-000000000000}">
      <formula1>Assets.cost.trend.names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B044A3-145B-4764-9C77-95C10F92688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C5:C12</xm:sqref>
        </x14:conditionalFormatting>
        <x14:conditionalFormatting xmlns:xm="http://schemas.microsoft.com/office/excel/2006/main">
          <x14:cfRule type="dataBar" id="{BB68EAB8-B704-4C82-B26A-F4C0E42DBB6B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G5:G12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/>
  <dimension ref="A1:P82"/>
  <sheetViews>
    <sheetView workbookViewId="0">
      <selection sqref="A1:XFD1048576"/>
    </sheetView>
  </sheetViews>
  <sheetFormatPr baseColWidth="10" defaultColWidth="11.42578125" defaultRowHeight="12" x14ac:dyDescent="0.2"/>
  <cols>
    <col min="1" max="1" width="6.85546875" style="58" customWidth="1"/>
    <col min="2" max="2" width="51.140625" style="58" bestFit="1" customWidth="1"/>
    <col min="3" max="3" width="14.7109375" style="58" bestFit="1" customWidth="1"/>
    <col min="4" max="4" width="22.85546875" style="58" customWidth="1"/>
    <col min="5" max="5" width="11" style="58" customWidth="1"/>
    <col min="6" max="6" width="9" style="58" customWidth="1"/>
    <col min="7" max="7" width="25.7109375" style="58" bestFit="1" customWidth="1"/>
    <col min="8" max="8" width="26.5703125" style="58" customWidth="1"/>
    <col min="9" max="9" width="19.7109375" style="58" customWidth="1"/>
    <col min="10" max="10" width="22.28515625" style="58" bestFit="1" customWidth="1"/>
    <col min="11" max="11" width="17.28515625" style="58" customWidth="1"/>
    <col min="12" max="16384" width="11.42578125" style="58"/>
  </cols>
  <sheetData>
    <row r="1" spans="2:14" ht="20.25" x14ac:dyDescent="0.3">
      <c r="B1" s="157" t="s">
        <v>259</v>
      </c>
    </row>
    <row r="3" spans="2:14" x14ac:dyDescent="0.2">
      <c r="G3" s="85" t="s">
        <v>243</v>
      </c>
    </row>
    <row r="4" spans="2:14" x14ac:dyDescent="0.2">
      <c r="B4" s="40" t="s">
        <v>95</v>
      </c>
      <c r="C4" s="40" t="s">
        <v>11</v>
      </c>
      <c r="D4" s="69"/>
      <c r="G4" s="49" t="s">
        <v>89</v>
      </c>
      <c r="H4" s="49" t="s">
        <v>51</v>
      </c>
      <c r="I4" s="49" t="s">
        <v>31</v>
      </c>
    </row>
    <row r="5" spans="2:14" x14ac:dyDescent="0.2">
      <c r="B5" s="88" t="s">
        <v>48</v>
      </c>
      <c r="C5" s="213">
        <f>+'1.Modelo'!I12</f>
        <v>3411963</v>
      </c>
      <c r="G5" s="41" t="s">
        <v>52</v>
      </c>
      <c r="H5" s="96">
        <v>32.409999999999997</v>
      </c>
      <c r="I5" s="150">
        <f>+H5/H7</f>
        <v>0.84291287386215863</v>
      </c>
      <c r="J5" s="230" t="s">
        <v>278</v>
      </c>
    </row>
    <row r="6" spans="2:14" x14ac:dyDescent="0.2">
      <c r="B6" s="97" t="s">
        <v>0</v>
      </c>
      <c r="C6" s="213">
        <f>+'1.Modelo'!I13</f>
        <v>27916489</v>
      </c>
      <c r="E6" s="115"/>
      <c r="G6" s="41" t="s">
        <v>53</v>
      </c>
      <c r="H6" s="96">
        <v>6.04</v>
      </c>
      <c r="I6" s="150">
        <f>+H6/H7</f>
        <v>0.15708712613784137</v>
      </c>
      <c r="J6" s="230" t="s">
        <v>278</v>
      </c>
    </row>
    <row r="7" spans="2:14" x14ac:dyDescent="0.2">
      <c r="B7" s="93"/>
      <c r="C7" s="93"/>
      <c r="D7" s="75"/>
      <c r="G7" s="41" t="s">
        <v>54</v>
      </c>
      <c r="H7" s="151">
        <f>+H6+H5</f>
        <v>38.449999999999996</v>
      </c>
      <c r="I7" s="78"/>
    </row>
    <row r="8" spans="2:14" x14ac:dyDescent="0.2">
      <c r="B8" s="68" t="s">
        <v>168</v>
      </c>
    </row>
    <row r="9" spans="2:14" x14ac:dyDescent="0.2">
      <c r="B9" s="40" t="s">
        <v>6</v>
      </c>
      <c r="C9" s="40" t="s">
        <v>49</v>
      </c>
      <c r="D9" s="40" t="s">
        <v>50</v>
      </c>
      <c r="G9" s="85" t="s">
        <v>55</v>
      </c>
    </row>
    <row r="10" spans="2:14" ht="36" x14ac:dyDescent="0.2">
      <c r="B10" s="41" t="s">
        <v>169</v>
      </c>
      <c r="C10" s="98">
        <f>+C6*I5</f>
        <v>23531167.97113134</v>
      </c>
      <c r="D10" s="98">
        <f>+C6*I6</f>
        <v>4385321.0288686613</v>
      </c>
      <c r="G10" s="49"/>
      <c r="H10" s="49" t="s">
        <v>57</v>
      </c>
      <c r="I10" s="49" t="s">
        <v>59</v>
      </c>
      <c r="J10" s="49" t="s">
        <v>60</v>
      </c>
      <c r="K10" s="49" t="s">
        <v>86</v>
      </c>
      <c r="L10" s="49" t="s">
        <v>91</v>
      </c>
      <c r="M10" s="49" t="s">
        <v>303</v>
      </c>
      <c r="N10" s="49" t="s">
        <v>304</v>
      </c>
    </row>
    <row r="11" spans="2:14" x14ac:dyDescent="0.2">
      <c r="B11" s="100" t="s">
        <v>170</v>
      </c>
      <c r="C11" s="98">
        <f>+C10*(1-Header.compression)</f>
        <v>20707427.81459558</v>
      </c>
      <c r="D11" s="98">
        <f>+D10*(1-Header.compressionUL)</f>
        <v>3859082.5054044221</v>
      </c>
      <c r="G11" s="41" t="s">
        <v>56</v>
      </c>
      <c r="H11" s="78">
        <v>42.7</v>
      </c>
      <c r="I11" s="78">
        <v>1.92</v>
      </c>
      <c r="J11" s="78">
        <f>+H11*I11</f>
        <v>81.984000000000009</v>
      </c>
      <c r="K11" s="99">
        <f>+J11/J13</f>
        <v>0.73620689655172411</v>
      </c>
      <c r="L11" s="142">
        <v>34454.629999999997</v>
      </c>
      <c r="M11" s="227">
        <f>+(L11+L12)/(J11+J12)</f>
        <v>420.25862068965512</v>
      </c>
      <c r="N11" s="227">
        <f>+L11/H11</f>
        <v>806.89999999999986</v>
      </c>
    </row>
    <row r="12" spans="2:14" x14ac:dyDescent="0.2">
      <c r="B12" s="41" t="s">
        <v>172</v>
      </c>
      <c r="C12" s="98">
        <f>+C11/CTRL.BH.days.per.month*CTRL.Ratio.data.in.data.BH</f>
        <v>41414.855629191159</v>
      </c>
      <c r="D12" s="98">
        <f>+D11/CTRL.BH.days.per.month*CTRL.Ratio.data.in.data.BH</f>
        <v>7718.1650108088443</v>
      </c>
      <c r="E12" s="86"/>
      <c r="G12" s="41" t="s">
        <v>58</v>
      </c>
      <c r="H12" s="78">
        <v>15.3</v>
      </c>
      <c r="I12" s="78">
        <v>1.92</v>
      </c>
      <c r="J12" s="78">
        <f>+H12*I12</f>
        <v>29.376000000000001</v>
      </c>
      <c r="K12" s="99">
        <f>+J12/J13</f>
        <v>0.26379310344827583</v>
      </c>
      <c r="L12" s="142">
        <v>12345.37</v>
      </c>
      <c r="M12" s="228"/>
      <c r="N12" s="227">
        <f>+L12/H12</f>
        <v>806.88692810457519</v>
      </c>
    </row>
    <row r="13" spans="2:14" x14ac:dyDescent="0.2">
      <c r="B13" s="100" t="s">
        <v>171</v>
      </c>
      <c r="C13" s="222">
        <f>(Ratio.Voz.OnNet/2+Ratio.Voz.OffNetEntrante)*(1+1/B62*C62)*C5*MB.per.minute.AMR12.2.Backhaul</f>
        <v>98580.669851628816</v>
      </c>
      <c r="D13" s="222">
        <f>(+Ratio.Voz.OnNet/2+Ratio.Voz.OffNetSaliente)*(1+1/B62*C62)*C5*MB.per.minute.AMR12.2.Backhaul</f>
        <v>98580.669851628816</v>
      </c>
      <c r="H13" s="230" t="s">
        <v>278</v>
      </c>
      <c r="I13" s="230" t="s">
        <v>278</v>
      </c>
      <c r="J13" s="41">
        <f>+SUM(J11:J12)</f>
        <v>111.36000000000001</v>
      </c>
      <c r="L13" s="214">
        <f>+L11+L12</f>
        <v>46800</v>
      </c>
    </row>
    <row r="14" spans="2:14" x14ac:dyDescent="0.2">
      <c r="B14" s="100" t="s">
        <v>173</v>
      </c>
      <c r="C14" s="101">
        <f>+C13/CTRL.BH.days.per.month*CTRL.Ratio.voice.in.voice.BH</f>
        <v>262.88178627101018</v>
      </c>
      <c r="D14" s="101">
        <f>+D13/CTRL.BH.days.per.month*CTRL.Ratio.voice.in.voice.BH</f>
        <v>262.88178627101018</v>
      </c>
      <c r="L14" s="230" t="s">
        <v>278</v>
      </c>
    </row>
    <row r="15" spans="2:14" x14ac:dyDescent="0.2">
      <c r="B15" s="41" t="s">
        <v>174</v>
      </c>
      <c r="C15" s="98">
        <f>+C12+C14</f>
        <v>41677.737415462172</v>
      </c>
      <c r="D15" s="98">
        <f>+D12+D14</f>
        <v>7981.0467970798545</v>
      </c>
      <c r="E15" s="102"/>
      <c r="F15" s="102"/>
    </row>
    <row r="16" spans="2:14" x14ac:dyDescent="0.2">
      <c r="B16" s="78" t="s">
        <v>82</v>
      </c>
      <c r="C16" s="74">
        <f>+C15*Bits.per.byte/seconds.per.hour</f>
        <v>92.617194256582607</v>
      </c>
      <c r="D16" s="74">
        <f>+D15*Bits.per.byte/seconds.per.hour</f>
        <v>17.735659549066344</v>
      </c>
    </row>
    <row r="17" spans="2:16" x14ac:dyDescent="0.2">
      <c r="B17" s="78" t="s">
        <v>83</v>
      </c>
      <c r="C17" s="153">
        <f>+C16/J11</f>
        <v>1.1296984076964114</v>
      </c>
      <c r="D17" s="153">
        <f>+D16/J12</f>
        <v>0.60374658051015606</v>
      </c>
      <c r="E17" s="116"/>
    </row>
    <row r="18" spans="2:16" x14ac:dyDescent="0.2">
      <c r="B18" s="78" t="s">
        <v>283</v>
      </c>
      <c r="C18" s="74">
        <f>+C16/Utilisation.LMA</f>
        <v>115.77149282072826</v>
      </c>
      <c r="D18" s="74">
        <f>+D16/Utilisation.LMA</f>
        <v>22.16957443633293</v>
      </c>
      <c r="E18" s="117"/>
      <c r="F18" s="50"/>
    </row>
    <row r="19" spans="2:16" x14ac:dyDescent="0.2">
      <c r="B19" s="41" t="s">
        <v>292</v>
      </c>
      <c r="C19" s="226">
        <f>ROUNDUP((1+FactorRollOff)*(C18/FEC2.3/BitPorSimbolo.8PSK),1)</f>
        <v>60.800000000000004</v>
      </c>
      <c r="D19" s="226">
        <f>ROUNDUP((1+FactorRollOff)*(D18/FEC2.3/BitPorSimbolo.8PSK),1)</f>
        <v>11.7</v>
      </c>
      <c r="E19" s="225"/>
    </row>
    <row r="20" spans="2:16" x14ac:dyDescent="0.2">
      <c r="B20" s="41" t="s">
        <v>297</v>
      </c>
      <c r="C20" s="142">
        <f>+C19*$N$11</f>
        <v>49059.519999999997</v>
      </c>
      <c r="D20" s="142">
        <f>+D19*$N$12</f>
        <v>9440.57705882353</v>
      </c>
      <c r="E20" s="147">
        <f>+C20+D20</f>
        <v>58500.097058823529</v>
      </c>
      <c r="O20" s="68"/>
      <c r="P20" s="139"/>
    </row>
    <row r="21" spans="2:16" x14ac:dyDescent="0.2">
      <c r="O21" s="139"/>
    </row>
    <row r="23" spans="2:16" x14ac:dyDescent="0.2">
      <c r="B23" s="40" t="s">
        <v>61</v>
      </c>
      <c r="C23" s="40"/>
      <c r="D23" s="40"/>
      <c r="O23" s="139"/>
    </row>
    <row r="24" spans="2:16" x14ac:dyDescent="0.2">
      <c r="B24" s="103" t="s">
        <v>277</v>
      </c>
      <c r="C24" s="2">
        <v>30</v>
      </c>
      <c r="D24" s="232" t="s">
        <v>63</v>
      </c>
      <c r="E24" s="229" t="s">
        <v>311</v>
      </c>
      <c r="F24" s="229" t="s">
        <v>311</v>
      </c>
    </row>
    <row r="25" spans="2:16" x14ac:dyDescent="0.2">
      <c r="B25" s="104" t="s">
        <v>62</v>
      </c>
      <c r="C25" s="105">
        <v>0.06</v>
      </c>
      <c r="D25" s="232" t="s">
        <v>85</v>
      </c>
      <c r="E25" s="229" t="s">
        <v>311</v>
      </c>
      <c r="F25" s="229" t="s">
        <v>311</v>
      </c>
    </row>
    <row r="26" spans="2:16" x14ac:dyDescent="0.2">
      <c r="B26" s="104" t="s">
        <v>87</v>
      </c>
      <c r="C26" s="106">
        <v>60</v>
      </c>
      <c r="D26" s="232" t="s">
        <v>79</v>
      </c>
      <c r="E26" s="229" t="s">
        <v>311</v>
      </c>
      <c r="F26" s="229" t="s">
        <v>311</v>
      </c>
    </row>
    <row r="27" spans="2:16" x14ac:dyDescent="0.2">
      <c r="B27" s="103" t="s">
        <v>88</v>
      </c>
      <c r="C27" s="41">
        <f>+C26*60</f>
        <v>3600</v>
      </c>
      <c r="D27" s="232" t="s">
        <v>81</v>
      </c>
      <c r="E27" s="229" t="s">
        <v>311</v>
      </c>
      <c r="F27" s="229" t="s">
        <v>311</v>
      </c>
    </row>
    <row r="28" spans="2:16" x14ac:dyDescent="0.2">
      <c r="B28" s="104" t="s">
        <v>78</v>
      </c>
      <c r="C28" s="106">
        <v>8</v>
      </c>
      <c r="D28" s="232" t="s">
        <v>78</v>
      </c>
      <c r="E28" s="229" t="s">
        <v>311</v>
      </c>
      <c r="F28" s="229" t="s">
        <v>311</v>
      </c>
    </row>
    <row r="29" spans="2:16" x14ac:dyDescent="0.2">
      <c r="B29" s="104" t="s">
        <v>281</v>
      </c>
      <c r="C29" s="266">
        <f>+'1.Modelo'!I5</f>
        <v>0.12</v>
      </c>
      <c r="D29" s="233" t="s">
        <v>84</v>
      </c>
      <c r="E29" s="230" t="s">
        <v>278</v>
      </c>
    </row>
    <row r="30" spans="2:16" x14ac:dyDescent="0.2">
      <c r="B30" s="104" t="s">
        <v>280</v>
      </c>
      <c r="C30" s="266">
        <f>+'1.Modelo'!I6</f>
        <v>0.12</v>
      </c>
      <c r="D30" s="233" t="s">
        <v>282</v>
      </c>
      <c r="E30" s="230" t="s">
        <v>278</v>
      </c>
    </row>
    <row r="31" spans="2:16" x14ac:dyDescent="0.2">
      <c r="B31" s="103" t="s">
        <v>64</v>
      </c>
      <c r="C31" s="107">
        <v>1.6E-2</v>
      </c>
      <c r="D31" s="232" t="s">
        <v>65</v>
      </c>
      <c r="E31" s="229" t="s">
        <v>311</v>
      </c>
      <c r="G31" s="49" t="s">
        <v>96</v>
      </c>
      <c r="H31" s="49" t="s">
        <v>12</v>
      </c>
      <c r="I31" s="49" t="s">
        <v>13</v>
      </c>
      <c r="J31" s="49" t="s">
        <v>161</v>
      </c>
      <c r="K31" s="49" t="s">
        <v>162</v>
      </c>
    </row>
    <row r="32" spans="2:16" x14ac:dyDescent="0.2">
      <c r="B32" s="104" t="s">
        <v>94</v>
      </c>
      <c r="C32" s="108">
        <v>3.5</v>
      </c>
      <c r="D32" s="232" t="s">
        <v>66</v>
      </c>
      <c r="E32" s="230" t="s">
        <v>278</v>
      </c>
      <c r="G32" s="110">
        <v>43952</v>
      </c>
      <c r="H32" s="98">
        <v>1356567.8500031803</v>
      </c>
      <c r="I32" s="98">
        <v>7406475.4332049089</v>
      </c>
      <c r="J32" s="41"/>
      <c r="K32" s="41"/>
      <c r="L32" s="230" t="s">
        <v>278</v>
      </c>
    </row>
    <row r="33" spans="2:14" x14ac:dyDescent="0.2">
      <c r="B33" s="109" t="s">
        <v>123</v>
      </c>
      <c r="C33" s="106">
        <v>1024</v>
      </c>
      <c r="D33" s="234" t="s">
        <v>122</v>
      </c>
      <c r="E33" s="229" t="s">
        <v>311</v>
      </c>
      <c r="G33" s="110">
        <v>43983</v>
      </c>
      <c r="H33" s="98">
        <v>1748828.18333667</v>
      </c>
      <c r="I33" s="98">
        <v>8567279.3885474019</v>
      </c>
      <c r="J33" s="87">
        <f>(H33-H32)/H32</f>
        <v>0.28915644236487698</v>
      </c>
      <c r="K33" s="87">
        <f>(I33-I32)/I32</f>
        <v>0.15672825297419413</v>
      </c>
      <c r="L33" s="230" t="s">
        <v>278</v>
      </c>
    </row>
    <row r="34" spans="2:14" x14ac:dyDescent="0.2">
      <c r="B34" s="104" t="s">
        <v>175</v>
      </c>
      <c r="C34" s="105">
        <v>0.08</v>
      </c>
      <c r="D34" s="232" t="s">
        <v>188</v>
      </c>
      <c r="E34" s="229" t="s">
        <v>311</v>
      </c>
      <c r="G34" s="110">
        <v>44013</v>
      </c>
      <c r="H34" s="98">
        <v>2078229.6833364295</v>
      </c>
      <c r="I34" s="98">
        <v>10006465.432844723</v>
      </c>
      <c r="J34" s="87">
        <f t="shared" ref="J34:J38" si="0">(H34-H33)/H33</f>
        <v>0.1883555532432461</v>
      </c>
      <c r="K34" s="87">
        <f t="shared" ref="K34:K38" si="1">(I34-I33)/I33</f>
        <v>0.16798635588109814</v>
      </c>
      <c r="L34" s="230" t="s">
        <v>278</v>
      </c>
    </row>
    <row r="35" spans="2:14" x14ac:dyDescent="0.2">
      <c r="B35" s="41" t="s">
        <v>176</v>
      </c>
      <c r="C35" s="42">
        <v>0.3</v>
      </c>
      <c r="D35" s="232" t="s">
        <v>179</v>
      </c>
      <c r="E35" s="229" t="s">
        <v>311</v>
      </c>
      <c r="G35" s="110">
        <v>44044</v>
      </c>
      <c r="H35" s="98">
        <v>2689690.18334</v>
      </c>
      <c r="I35" s="98">
        <v>12144233.917459626</v>
      </c>
      <c r="J35" s="87">
        <f t="shared" si="0"/>
        <v>0.29422181046991885</v>
      </c>
      <c r="K35" s="87">
        <f t="shared" si="1"/>
        <v>0.21363872178061982</v>
      </c>
      <c r="L35" s="230" t="s">
        <v>278</v>
      </c>
    </row>
    <row r="36" spans="2:14" x14ac:dyDescent="0.2">
      <c r="B36" s="41" t="s">
        <v>177</v>
      </c>
      <c r="C36" s="42">
        <v>0.35</v>
      </c>
      <c r="D36" s="232" t="s">
        <v>180</v>
      </c>
      <c r="E36" s="229" t="s">
        <v>311</v>
      </c>
      <c r="G36" s="110">
        <v>44075</v>
      </c>
      <c r="H36" s="98">
        <v>2512746.4166723895</v>
      </c>
      <c r="I36" s="98">
        <v>13883708.435762752</v>
      </c>
      <c r="J36" s="87">
        <f t="shared" si="0"/>
        <v>-6.5785928715360625E-2</v>
      </c>
      <c r="K36" s="87">
        <f t="shared" si="1"/>
        <v>0.14323460253860093</v>
      </c>
      <c r="L36" s="230" t="s">
        <v>278</v>
      </c>
    </row>
    <row r="37" spans="2:14" x14ac:dyDescent="0.2">
      <c r="B37" s="41" t="s">
        <v>178</v>
      </c>
      <c r="C37" s="42">
        <v>0.35</v>
      </c>
      <c r="D37" s="232" t="s">
        <v>181</v>
      </c>
      <c r="E37" s="229" t="s">
        <v>311</v>
      </c>
      <c r="G37" s="110">
        <v>44105</v>
      </c>
      <c r="H37" s="98">
        <v>2907867.6000099797</v>
      </c>
      <c r="I37" s="98">
        <v>18120540.540589232</v>
      </c>
      <c r="J37" s="87">
        <f t="shared" si="0"/>
        <v>0.15724674034590649</v>
      </c>
      <c r="K37" s="87">
        <f t="shared" si="1"/>
        <v>0.30516573611650571</v>
      </c>
      <c r="L37" s="230" t="s">
        <v>278</v>
      </c>
    </row>
    <row r="38" spans="2:14" x14ac:dyDescent="0.2">
      <c r="B38" s="152" t="s">
        <v>244</v>
      </c>
      <c r="C38" s="42">
        <v>0.8</v>
      </c>
      <c r="D38" s="232" t="s">
        <v>245</v>
      </c>
      <c r="E38" s="229" t="s">
        <v>311</v>
      </c>
      <c r="F38" s="48"/>
      <c r="G38" s="110">
        <v>44136</v>
      </c>
      <c r="H38" s="98">
        <v>2925293.2833403093</v>
      </c>
      <c r="I38" s="98">
        <v>19532032.214900967</v>
      </c>
      <c r="J38" s="87">
        <f t="shared" si="0"/>
        <v>5.9925986074021382E-3</v>
      </c>
      <c r="K38" s="87">
        <f t="shared" si="1"/>
        <v>7.7894567833120321E-2</v>
      </c>
      <c r="L38" s="230" t="s">
        <v>278</v>
      </c>
    </row>
    <row r="39" spans="2:14" x14ac:dyDescent="0.2">
      <c r="B39" s="152" t="s">
        <v>246</v>
      </c>
      <c r="C39" s="42">
        <v>0.8</v>
      </c>
      <c r="D39" s="232" t="s">
        <v>247</v>
      </c>
      <c r="E39" s="229" t="s">
        <v>311</v>
      </c>
    </row>
    <row r="40" spans="2:14" x14ac:dyDescent="0.2">
      <c r="B40" s="152" t="s">
        <v>248</v>
      </c>
      <c r="C40" s="42">
        <v>0.8</v>
      </c>
      <c r="D40" s="232" t="s">
        <v>249</v>
      </c>
      <c r="E40" s="229" t="s">
        <v>311</v>
      </c>
      <c r="H40" s="81"/>
      <c r="I40" s="81"/>
      <c r="J40" s="81"/>
      <c r="K40" s="81"/>
      <c r="L40" s="81"/>
    </row>
    <row r="41" spans="2:14" x14ac:dyDescent="0.2">
      <c r="B41" s="152" t="s">
        <v>250</v>
      </c>
      <c r="C41" s="42">
        <v>0.8</v>
      </c>
      <c r="D41" s="232" t="s">
        <v>251</v>
      </c>
      <c r="E41" s="229" t="s">
        <v>311</v>
      </c>
      <c r="F41" s="72"/>
      <c r="H41" s="81"/>
      <c r="I41" s="81"/>
      <c r="J41" s="81"/>
      <c r="K41" s="81"/>
      <c r="L41" s="81"/>
    </row>
    <row r="42" spans="2:14" x14ac:dyDescent="0.2">
      <c r="B42" s="152" t="s">
        <v>252</v>
      </c>
      <c r="C42" s="42">
        <v>0.8</v>
      </c>
      <c r="D42" s="232" t="s">
        <v>253</v>
      </c>
      <c r="E42" s="229" t="s">
        <v>311</v>
      </c>
      <c r="F42" s="72"/>
      <c r="H42" s="81"/>
      <c r="I42" s="81"/>
      <c r="J42" s="81"/>
      <c r="K42" s="81"/>
      <c r="L42" s="81"/>
      <c r="N42" s="111"/>
    </row>
    <row r="43" spans="2:14" x14ac:dyDescent="0.2">
      <c r="B43" s="41" t="s">
        <v>284</v>
      </c>
      <c r="C43" s="41">
        <v>5</v>
      </c>
      <c r="D43" s="232" t="s">
        <v>296</v>
      </c>
      <c r="E43" s="229" t="s">
        <v>306</v>
      </c>
      <c r="F43" s="72"/>
      <c r="H43" s="81"/>
      <c r="I43" s="81"/>
      <c r="J43" s="81"/>
      <c r="K43" s="81"/>
      <c r="L43" s="81"/>
    </row>
    <row r="44" spans="2:14" x14ac:dyDescent="0.2">
      <c r="B44" s="41" t="s">
        <v>285</v>
      </c>
      <c r="C44" s="41">
        <v>4</v>
      </c>
      <c r="D44" s="232" t="s">
        <v>295</v>
      </c>
      <c r="E44" s="229" t="s">
        <v>306</v>
      </c>
      <c r="F44" s="72"/>
      <c r="H44" s="81"/>
      <c r="I44" s="81"/>
      <c r="J44" s="81"/>
      <c r="K44" s="81"/>
      <c r="L44" s="81"/>
    </row>
    <row r="45" spans="2:14" x14ac:dyDescent="0.2">
      <c r="B45" s="41" t="s">
        <v>299</v>
      </c>
      <c r="C45" s="41">
        <v>3</v>
      </c>
      <c r="D45" s="232" t="s">
        <v>302</v>
      </c>
      <c r="E45" s="229" t="s">
        <v>306</v>
      </c>
      <c r="F45" s="72"/>
      <c r="H45" s="81"/>
      <c r="I45" s="81"/>
      <c r="J45" s="81"/>
      <c r="K45" s="81"/>
      <c r="L45" s="81"/>
    </row>
    <row r="46" spans="2:14" x14ac:dyDescent="0.2">
      <c r="B46" s="41" t="s">
        <v>288</v>
      </c>
      <c r="C46" s="224">
        <f>5/6</f>
        <v>0.83333333333333337</v>
      </c>
      <c r="D46" s="232" t="s">
        <v>294</v>
      </c>
      <c r="E46" s="229" t="s">
        <v>306</v>
      </c>
      <c r="F46" s="72"/>
    </row>
    <row r="47" spans="2:14" x14ac:dyDescent="0.2">
      <c r="B47" s="41" t="s">
        <v>289</v>
      </c>
      <c r="C47" s="224">
        <f>9/10</f>
        <v>0.9</v>
      </c>
      <c r="D47" s="232" t="s">
        <v>293</v>
      </c>
      <c r="E47" s="229" t="s">
        <v>306</v>
      </c>
    </row>
    <row r="48" spans="2:14" x14ac:dyDescent="0.2">
      <c r="B48" s="41" t="s">
        <v>300</v>
      </c>
      <c r="C48" s="223">
        <f>2/3</f>
        <v>0.66666666666666663</v>
      </c>
      <c r="D48" s="232" t="s">
        <v>301</v>
      </c>
      <c r="E48" s="229" t="s">
        <v>306</v>
      </c>
    </row>
    <row r="49" spans="2:10" x14ac:dyDescent="0.2">
      <c r="B49" s="41" t="s">
        <v>287</v>
      </c>
      <c r="C49" s="41">
        <v>4.4530269999999996</v>
      </c>
      <c r="D49" s="235"/>
      <c r="E49" s="229" t="s">
        <v>306</v>
      </c>
    </row>
    <row r="50" spans="2:10" x14ac:dyDescent="0.2">
      <c r="B50" s="41" t="s">
        <v>286</v>
      </c>
      <c r="C50" s="41">
        <v>3.3001839999999998</v>
      </c>
      <c r="D50" s="235"/>
      <c r="E50" s="229" t="s">
        <v>306</v>
      </c>
    </row>
    <row r="51" spans="2:10" x14ac:dyDescent="0.2">
      <c r="B51" s="41" t="s">
        <v>298</v>
      </c>
      <c r="C51" s="41">
        <v>1.9806360000000001</v>
      </c>
      <c r="D51" s="235"/>
      <c r="E51" s="229" t="s">
        <v>306</v>
      </c>
    </row>
    <row r="52" spans="2:10" x14ac:dyDescent="0.2">
      <c r="B52" s="58" t="s">
        <v>290</v>
      </c>
      <c r="C52" s="116">
        <v>0.05</v>
      </c>
      <c r="D52" s="232" t="s">
        <v>291</v>
      </c>
    </row>
    <row r="53" spans="2:10" x14ac:dyDescent="0.2">
      <c r="B53" s="41"/>
      <c r="C53" s="41"/>
      <c r="D53" s="235"/>
    </row>
    <row r="54" spans="2:10" x14ac:dyDescent="0.2">
      <c r="F54" s="72"/>
    </row>
    <row r="55" spans="2:10" x14ac:dyDescent="0.2">
      <c r="F55" s="72"/>
    </row>
    <row r="56" spans="2:10" x14ac:dyDescent="0.2">
      <c r="F56" s="1"/>
    </row>
    <row r="57" spans="2:10" x14ac:dyDescent="0.2">
      <c r="B57" s="70" t="s">
        <v>185</v>
      </c>
      <c r="C57" s="112"/>
      <c r="D57" s="48"/>
      <c r="E57" s="1"/>
      <c r="F57" s="1"/>
    </row>
    <row r="58" spans="2:10" x14ac:dyDescent="0.2">
      <c r="B58" s="250" t="s">
        <v>186</v>
      </c>
      <c r="C58" s="251">
        <v>1.7</v>
      </c>
      <c r="D58" s="229" t="s">
        <v>311</v>
      </c>
      <c r="E58" s="72"/>
      <c r="F58" s="1"/>
    </row>
    <row r="59" spans="2:10" x14ac:dyDescent="0.2">
      <c r="B59" s="250" t="s">
        <v>187</v>
      </c>
      <c r="C59" s="251">
        <v>1.3</v>
      </c>
      <c r="D59" s="229" t="s">
        <v>311</v>
      </c>
      <c r="E59" s="72"/>
      <c r="F59" s="72"/>
      <c r="I59" s="112"/>
      <c r="J59" s="112"/>
    </row>
    <row r="60" spans="2:10" x14ac:dyDescent="0.2">
      <c r="D60" s="48"/>
      <c r="E60" s="72"/>
      <c r="F60" s="72"/>
      <c r="J60" s="113"/>
    </row>
    <row r="61" spans="2:10" ht="48" x14ac:dyDescent="0.2">
      <c r="B61" s="49" t="s">
        <v>182</v>
      </c>
      <c r="C61" s="49" t="s">
        <v>189</v>
      </c>
      <c r="D61" s="49" t="s">
        <v>183</v>
      </c>
      <c r="E61" s="49" t="s">
        <v>184</v>
      </c>
      <c r="F61" s="72"/>
      <c r="H61" s="112"/>
      <c r="J61" s="112"/>
    </row>
    <row r="62" spans="2:10" x14ac:dyDescent="0.2">
      <c r="B62" s="248">
        <v>1.3</v>
      </c>
      <c r="C62" s="248">
        <v>0.11666666666666667</v>
      </c>
      <c r="D62" s="249">
        <v>2</v>
      </c>
      <c r="E62" s="56">
        <f>IF(C58=0,0,1/C58*B62*C62)</f>
        <v>8.9215686274509806E-2</v>
      </c>
      <c r="F62" s="229" t="s">
        <v>311</v>
      </c>
      <c r="G62" s="112"/>
      <c r="H62" s="112"/>
      <c r="J62" s="112"/>
    </row>
    <row r="63" spans="2:10" x14ac:dyDescent="0.2">
      <c r="B63" s="248">
        <v>1.3</v>
      </c>
      <c r="C63" s="248">
        <v>0.11666666666666667</v>
      </c>
      <c r="D63" s="249">
        <v>1</v>
      </c>
      <c r="E63" s="56">
        <f>IF(C59=0,0,1/C59*B63*C63)</f>
        <v>0.11666666666666667</v>
      </c>
      <c r="F63" s="229" t="s">
        <v>311</v>
      </c>
      <c r="G63" s="112"/>
      <c r="H63" s="112"/>
      <c r="J63" s="114"/>
    </row>
    <row r="64" spans="2:10" x14ac:dyDescent="0.2">
      <c r="F64" s="208"/>
      <c r="G64" s="112"/>
      <c r="H64" s="112"/>
      <c r="J64" s="114"/>
    </row>
    <row r="65" spans="1:10" x14ac:dyDescent="0.2">
      <c r="G65" s="112"/>
      <c r="H65" s="112"/>
      <c r="I65" s="112"/>
      <c r="J65" s="114"/>
    </row>
    <row r="66" spans="1:10" x14ac:dyDescent="0.2">
      <c r="G66" s="112"/>
      <c r="H66" s="112"/>
      <c r="I66" s="112"/>
      <c r="J66" s="112"/>
    </row>
    <row r="67" spans="1:10" x14ac:dyDescent="0.2">
      <c r="G67" s="112"/>
      <c r="H67" s="112"/>
      <c r="I67" s="112"/>
      <c r="J67" s="112"/>
    </row>
    <row r="68" spans="1:10" x14ac:dyDescent="0.2">
      <c r="A68" s="240"/>
      <c r="B68" s="240"/>
      <c r="C68" s="240"/>
      <c r="D68" s="240"/>
      <c r="E68" s="240"/>
      <c r="F68" s="240"/>
      <c r="G68" s="241"/>
      <c r="H68" s="112"/>
      <c r="I68" s="112"/>
      <c r="J68" s="112"/>
    </row>
    <row r="69" spans="1:10" x14ac:dyDescent="0.2">
      <c r="A69" s="240"/>
      <c r="B69" s="240"/>
      <c r="C69" s="240"/>
      <c r="D69" s="242"/>
      <c r="E69" s="240"/>
      <c r="F69" s="240"/>
      <c r="G69" s="241"/>
      <c r="H69" s="112"/>
      <c r="I69" s="112"/>
      <c r="J69" s="112"/>
    </row>
    <row r="70" spans="1:10" x14ac:dyDescent="0.2">
      <c r="A70" s="240"/>
      <c r="B70" s="240"/>
      <c r="C70" s="243"/>
      <c r="D70" s="242"/>
      <c r="E70" s="240"/>
      <c r="F70" s="240"/>
      <c r="G70" s="241"/>
      <c r="H70" s="112"/>
      <c r="I70" s="112"/>
      <c r="J70" s="112"/>
    </row>
    <row r="71" spans="1:10" x14ac:dyDescent="0.2">
      <c r="A71" s="240"/>
      <c r="B71" s="240"/>
      <c r="C71" s="243"/>
      <c r="D71" s="242"/>
      <c r="E71" s="240"/>
      <c r="F71" s="240"/>
      <c r="G71" s="241"/>
      <c r="H71" s="112"/>
      <c r="I71" s="112"/>
      <c r="J71" s="112"/>
    </row>
    <row r="72" spans="1:10" ht="15" x14ac:dyDescent="0.2">
      <c r="A72" s="240"/>
      <c r="B72" s="240"/>
      <c r="C72" s="240"/>
      <c r="D72" s="240"/>
      <c r="E72" s="244"/>
      <c r="F72" s="240"/>
      <c r="G72" s="240"/>
    </row>
    <row r="73" spans="1:10" ht="15" x14ac:dyDescent="0.2">
      <c r="A73" s="240"/>
      <c r="B73" s="240"/>
      <c r="C73" s="240"/>
      <c r="D73" s="240"/>
      <c r="E73" s="244"/>
      <c r="F73" s="240"/>
      <c r="G73" s="240"/>
    </row>
    <row r="74" spans="1:10" ht="15" x14ac:dyDescent="0.2">
      <c r="A74" s="240"/>
      <c r="B74" s="240"/>
      <c r="C74" s="245"/>
      <c r="D74" s="240"/>
      <c r="E74" s="244"/>
      <c r="F74" s="240"/>
      <c r="G74" s="240"/>
    </row>
    <row r="75" spans="1:10" ht="15" x14ac:dyDescent="0.2">
      <c r="A75" s="240"/>
      <c r="B75" s="240"/>
      <c r="C75" s="245"/>
      <c r="D75" s="240"/>
      <c r="E75" s="244"/>
      <c r="F75" s="240"/>
      <c r="G75" s="240"/>
    </row>
    <row r="76" spans="1:10" ht="15" x14ac:dyDescent="0.2">
      <c r="A76" s="240"/>
      <c r="B76" s="246"/>
      <c r="C76" s="246"/>
      <c r="D76" s="247"/>
      <c r="E76" s="244"/>
      <c r="F76" s="240"/>
      <c r="G76" s="240"/>
    </row>
    <row r="77" spans="1:10" x14ac:dyDescent="0.2">
      <c r="A77" s="240"/>
      <c r="B77" s="240"/>
      <c r="C77" s="240"/>
      <c r="D77" s="240"/>
      <c r="E77" s="240"/>
      <c r="F77" s="240"/>
      <c r="G77" s="240"/>
    </row>
    <row r="78" spans="1:10" x14ac:dyDescent="0.2">
      <c r="A78" s="240"/>
      <c r="B78" s="240"/>
      <c r="C78" s="240"/>
      <c r="D78" s="240"/>
      <c r="E78" s="240"/>
      <c r="F78" s="240"/>
      <c r="G78" s="240"/>
    </row>
    <row r="79" spans="1:10" x14ac:dyDescent="0.2">
      <c r="A79" s="240"/>
      <c r="B79" s="240"/>
      <c r="C79" s="240"/>
      <c r="D79" s="240"/>
      <c r="E79" s="240"/>
      <c r="F79" s="240"/>
      <c r="G79" s="240"/>
    </row>
    <row r="80" spans="1:10" x14ac:dyDescent="0.2">
      <c r="A80" s="240"/>
      <c r="B80" s="240"/>
      <c r="C80" s="240"/>
      <c r="D80" s="240"/>
      <c r="E80" s="240"/>
      <c r="F80" s="240"/>
      <c r="G80" s="240"/>
    </row>
    <row r="81" spans="1:7" x14ac:dyDescent="0.2">
      <c r="A81" s="240"/>
      <c r="B81" s="240"/>
      <c r="C81" s="240"/>
      <c r="D81" s="240"/>
      <c r="E81" s="240"/>
      <c r="F81" s="240"/>
      <c r="G81" s="240"/>
    </row>
    <row r="82" spans="1:7" x14ac:dyDescent="0.2">
      <c r="A82" s="240"/>
      <c r="B82" s="240"/>
      <c r="C82" s="240"/>
      <c r="D82" s="240"/>
      <c r="E82" s="240"/>
      <c r="F82" s="240"/>
      <c r="G82" s="240"/>
    </row>
  </sheetData>
  <conditionalFormatting sqref="B57:B59">
    <cfRule type="cellIs" dxfId="3" priority="6" operator="equal">
      <formula>"spare"</formula>
    </cfRule>
  </conditionalFormatting>
  <conditionalFormatting sqref="C58:C59">
    <cfRule type="cellIs" dxfId="2" priority="5" operator="equal">
      <formula>"spare"</formula>
    </cfRule>
  </conditionalFormatting>
  <pageMargins left="0.7" right="0.7" top="0.75" bottom="0.75" header="0.3" footer="0.3"/>
  <pageSetup paperSize="9" orientation="portrait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6"/>
  <dimension ref="A1:Q65"/>
  <sheetViews>
    <sheetView workbookViewId="0">
      <selection sqref="A1:XFD1048576"/>
    </sheetView>
  </sheetViews>
  <sheetFormatPr baseColWidth="10" defaultColWidth="11.42578125" defaultRowHeight="12" x14ac:dyDescent="0.2"/>
  <cols>
    <col min="1" max="1" width="7.28515625" style="58" customWidth="1"/>
    <col min="2" max="2" width="4.5703125" style="58" customWidth="1"/>
    <col min="3" max="3" width="59.140625" style="58" customWidth="1"/>
    <col min="4" max="4" width="14.28515625" style="58" customWidth="1"/>
    <col min="5" max="5" width="15.140625" style="58" customWidth="1"/>
    <col min="6" max="7" width="12.140625" style="58" bestFit="1" customWidth="1"/>
    <col min="8" max="16384" width="11.42578125" style="58"/>
  </cols>
  <sheetData>
    <row r="1" spans="1:8" ht="20.25" x14ac:dyDescent="0.3">
      <c r="A1" s="157" t="s">
        <v>260</v>
      </c>
    </row>
    <row r="4" spans="1:8" x14ac:dyDescent="0.2">
      <c r="C4" s="49" t="s">
        <v>61</v>
      </c>
    </row>
    <row r="6" spans="1:8" x14ac:dyDescent="0.2">
      <c r="C6" s="67" t="s">
        <v>64</v>
      </c>
      <c r="D6" s="66">
        <f>+UMTS.channel.rate</f>
        <v>1.6E-2</v>
      </c>
      <c r="E6" s="48" t="s">
        <v>65</v>
      </c>
      <c r="F6" s="229" t="s">
        <v>311</v>
      </c>
    </row>
    <row r="7" spans="1:8" x14ac:dyDescent="0.2">
      <c r="C7" s="41" t="s">
        <v>141</v>
      </c>
      <c r="D7" s="66">
        <v>1</v>
      </c>
      <c r="E7" s="48" t="s">
        <v>142</v>
      </c>
      <c r="F7" s="229" t="s">
        <v>311</v>
      </c>
    </row>
    <row r="9" spans="1:8" ht="36" x14ac:dyDescent="0.2">
      <c r="C9" s="40" t="s">
        <v>143</v>
      </c>
      <c r="D9" s="40" t="s">
        <v>67</v>
      </c>
      <c r="E9" s="50"/>
      <c r="F9" s="40" t="s">
        <v>76</v>
      </c>
      <c r="G9" s="40" t="s">
        <v>77</v>
      </c>
    </row>
    <row r="10" spans="1:8" x14ac:dyDescent="0.2">
      <c r="C10" s="71" t="s">
        <v>69</v>
      </c>
      <c r="D10" s="158">
        <v>1</v>
      </c>
      <c r="E10" s="229"/>
      <c r="F10" s="162">
        <v>21.1</v>
      </c>
      <c r="G10" s="236">
        <f>INDEX(G13:G19,MATCH(F10,F13:F19))</f>
        <v>0.32968750000000002</v>
      </c>
      <c r="H10" s="229" t="s">
        <v>311</v>
      </c>
    </row>
    <row r="11" spans="1:8" x14ac:dyDescent="0.2">
      <c r="C11" s="71" t="s">
        <v>70</v>
      </c>
      <c r="D11" s="159">
        <v>0.12</v>
      </c>
      <c r="E11" s="229"/>
    </row>
    <row r="12" spans="1:8" ht="24" x14ac:dyDescent="0.2">
      <c r="C12" s="71" t="s">
        <v>71</v>
      </c>
      <c r="D12" s="237">
        <f>G10</f>
        <v>0.32968750000000002</v>
      </c>
      <c r="E12" s="229"/>
      <c r="F12" s="72"/>
      <c r="G12" s="49" t="s">
        <v>80</v>
      </c>
    </row>
    <row r="13" spans="1:8" x14ac:dyDescent="0.2">
      <c r="C13" s="71" t="s">
        <v>72</v>
      </c>
      <c r="D13" s="160">
        <f>1*(1+D11)*D10*Bits.per.byte</f>
        <v>8.9600000000000009</v>
      </c>
      <c r="E13" s="229"/>
      <c r="F13" s="73">
        <v>0</v>
      </c>
      <c r="G13" s="73">
        <v>0</v>
      </c>
    </row>
    <row r="14" spans="1:8" x14ac:dyDescent="0.2">
      <c r="C14" s="71" t="s">
        <v>73</v>
      </c>
      <c r="D14" s="160">
        <f>1*D12*seconds.per.minute</f>
        <v>19.78125</v>
      </c>
      <c r="E14" s="50" t="s">
        <v>307</v>
      </c>
      <c r="F14" s="51">
        <v>1.8</v>
      </c>
      <c r="G14" s="52">
        <f>1.8/32</f>
        <v>5.6250000000000001E-2</v>
      </c>
      <c r="H14" s="229" t="s">
        <v>311</v>
      </c>
    </row>
    <row r="15" spans="1:8" x14ac:dyDescent="0.2">
      <c r="C15" s="71" t="s">
        <v>74</v>
      </c>
      <c r="D15" s="161">
        <f>D14/D13</f>
        <v>2.2077287946428568</v>
      </c>
      <c r="E15" s="50" t="s">
        <v>75</v>
      </c>
      <c r="F15" s="51">
        <v>3.6</v>
      </c>
      <c r="G15" s="52">
        <f>3.6/32</f>
        <v>0.1125</v>
      </c>
      <c r="H15" s="229" t="s">
        <v>311</v>
      </c>
    </row>
    <row r="16" spans="1:8" x14ac:dyDescent="0.2">
      <c r="D16" s="48" t="s">
        <v>68</v>
      </c>
      <c r="F16" s="51">
        <v>7.2</v>
      </c>
      <c r="G16" s="52">
        <f>7.2/64</f>
        <v>0.1125</v>
      </c>
      <c r="H16" s="229" t="s">
        <v>311</v>
      </c>
    </row>
    <row r="17" spans="3:8" x14ac:dyDescent="0.2">
      <c r="D17" s="229" t="s">
        <v>311</v>
      </c>
      <c r="E17" s="72"/>
      <c r="F17" s="51">
        <v>10.1</v>
      </c>
      <c r="G17" s="52">
        <f>10.1/64</f>
        <v>0.15781249999999999</v>
      </c>
      <c r="H17" s="229" t="s">
        <v>311</v>
      </c>
    </row>
    <row r="18" spans="3:8" x14ac:dyDescent="0.2">
      <c r="F18" s="51">
        <v>14.4</v>
      </c>
      <c r="G18" s="52">
        <f>14.4/64</f>
        <v>0.22500000000000001</v>
      </c>
      <c r="H18" s="229" t="s">
        <v>311</v>
      </c>
    </row>
    <row r="19" spans="3:8" x14ac:dyDescent="0.2">
      <c r="F19" s="51">
        <v>21.1</v>
      </c>
      <c r="G19" s="53">
        <f>21.1/64</f>
        <v>0.32968750000000002</v>
      </c>
      <c r="H19" s="229" t="s">
        <v>311</v>
      </c>
    </row>
    <row r="21" spans="3:8" x14ac:dyDescent="0.2">
      <c r="C21" s="40" t="s">
        <v>126</v>
      </c>
      <c r="D21" s="40" t="s">
        <v>127</v>
      </c>
    </row>
    <row r="22" spans="3:8" x14ac:dyDescent="0.2">
      <c r="C22" s="41" t="s">
        <v>119</v>
      </c>
      <c r="D22" s="74">
        <v>1</v>
      </c>
    </row>
    <row r="23" spans="3:8" x14ac:dyDescent="0.2">
      <c r="C23" s="41" t="s">
        <v>120</v>
      </c>
      <c r="D23" s="41">
        <v>2.2080000000000002</v>
      </c>
    </row>
    <row r="24" spans="3:8" x14ac:dyDescent="0.2">
      <c r="C24" s="75"/>
      <c r="D24" s="76"/>
      <c r="E24" s="76"/>
      <c r="F24" s="76"/>
      <c r="G24" s="75"/>
    </row>
    <row r="25" spans="3:8" x14ac:dyDescent="0.2">
      <c r="C25" s="40" t="s">
        <v>271</v>
      </c>
      <c r="D25" s="40" t="s">
        <v>127</v>
      </c>
      <c r="G25" s="75"/>
    </row>
    <row r="26" spans="3:8" x14ac:dyDescent="0.2">
      <c r="C26" s="41" t="s">
        <v>139</v>
      </c>
      <c r="D26" s="74">
        <v>1</v>
      </c>
      <c r="G26" s="75"/>
    </row>
    <row r="27" spans="3:8" x14ac:dyDescent="0.2">
      <c r="C27" s="41" t="s">
        <v>269</v>
      </c>
      <c r="D27" s="77">
        <f>+F35</f>
        <v>5.3026519775390628E-2</v>
      </c>
      <c r="G27" s="75"/>
    </row>
    <row r="28" spans="3:8" x14ac:dyDescent="0.2">
      <c r="C28" s="75"/>
      <c r="D28" s="76"/>
      <c r="E28" s="76"/>
      <c r="F28" s="75"/>
      <c r="G28" s="75"/>
    </row>
    <row r="29" spans="3:8" x14ac:dyDescent="0.2">
      <c r="C29" s="40" t="s">
        <v>128</v>
      </c>
      <c r="D29" s="40" t="s">
        <v>127</v>
      </c>
      <c r="F29" s="75"/>
      <c r="G29" s="75"/>
    </row>
    <row r="30" spans="3:8" x14ac:dyDescent="0.2">
      <c r="C30" s="41" t="s">
        <v>139</v>
      </c>
      <c r="D30" s="74">
        <v>1</v>
      </c>
      <c r="F30" s="75"/>
      <c r="G30" s="75"/>
    </row>
    <row r="31" spans="3:8" x14ac:dyDescent="0.2">
      <c r="C31" s="41" t="s">
        <v>140</v>
      </c>
      <c r="D31" s="77">
        <f>+F36</f>
        <v>0.10949185180664062</v>
      </c>
      <c r="F31" s="75"/>
      <c r="G31" s="75"/>
    </row>
    <row r="32" spans="3:8" x14ac:dyDescent="0.2">
      <c r="C32" s="75"/>
      <c r="D32" s="75"/>
      <c r="E32" s="76"/>
      <c r="F32" s="76"/>
      <c r="G32" s="75"/>
    </row>
    <row r="33" spans="3:17" x14ac:dyDescent="0.2">
      <c r="D33" s="76"/>
    </row>
    <row r="34" spans="3:17" ht="24" x14ac:dyDescent="0.2">
      <c r="C34" s="54" t="s">
        <v>145</v>
      </c>
      <c r="D34" s="54" t="s">
        <v>130</v>
      </c>
      <c r="E34" s="72"/>
      <c r="F34" s="40" t="s">
        <v>121</v>
      </c>
      <c r="G34" s="79"/>
      <c r="J34" s="75"/>
    </row>
    <row r="35" spans="3:17" x14ac:dyDescent="0.2">
      <c r="C35" s="80" t="s">
        <v>268</v>
      </c>
      <c r="D35" s="55">
        <f>+D52*RatioActividadCodec+D61*(1-RatioActividadCodec)</f>
        <v>7.2398875</v>
      </c>
      <c r="E35" s="238" t="s">
        <v>137</v>
      </c>
      <c r="F35" s="56">
        <f>D35/Kbits.per.Mbits*seconds.per.minute/Bits.per.byte</f>
        <v>5.3026519775390628E-2</v>
      </c>
      <c r="G35" s="239" t="s">
        <v>125</v>
      </c>
      <c r="J35" s="75"/>
    </row>
    <row r="36" spans="3:17" x14ac:dyDescent="0.2">
      <c r="C36" s="80" t="s">
        <v>129</v>
      </c>
      <c r="D36" s="55">
        <f>+D53*RatioActividadCodec+D62*(1-RatioActividadCodec)</f>
        <v>14.949287499999999</v>
      </c>
      <c r="E36" s="238" t="s">
        <v>138</v>
      </c>
      <c r="F36" s="56">
        <f>D36/Kbits.per.Mbits*seconds.per.minute/Bits.per.byte</f>
        <v>0.10949185180664062</v>
      </c>
      <c r="G36" s="239" t="s">
        <v>124</v>
      </c>
      <c r="J36" s="75"/>
      <c r="L36" s="81"/>
    </row>
    <row r="39" spans="3:17" x14ac:dyDescent="0.2">
      <c r="C39" s="40" t="s">
        <v>144</v>
      </c>
      <c r="D39" s="40"/>
      <c r="E39" s="40"/>
    </row>
    <row r="40" spans="3:17" x14ac:dyDescent="0.2">
      <c r="C40" s="41" t="s">
        <v>18</v>
      </c>
      <c r="D40" s="41">
        <v>12</v>
      </c>
      <c r="E40" s="41" t="s">
        <v>17</v>
      </c>
    </row>
    <row r="41" spans="3:17" x14ac:dyDescent="0.2">
      <c r="C41" s="41" t="s">
        <v>19</v>
      </c>
      <c r="D41" s="41">
        <v>8</v>
      </c>
      <c r="E41" s="41" t="s">
        <v>17</v>
      </c>
    </row>
    <row r="42" spans="3:17" x14ac:dyDescent="0.2">
      <c r="C42" s="41" t="s">
        <v>16</v>
      </c>
      <c r="D42" s="41">
        <v>20</v>
      </c>
      <c r="E42" s="41" t="s">
        <v>17</v>
      </c>
    </row>
    <row r="43" spans="3:17" x14ac:dyDescent="0.2">
      <c r="C43" s="78" t="s">
        <v>25</v>
      </c>
      <c r="D43" s="41">
        <f>SUM(D40:D42)</f>
        <v>40</v>
      </c>
      <c r="E43" s="41" t="s">
        <v>17</v>
      </c>
    </row>
    <row r="44" spans="3:17" x14ac:dyDescent="0.2">
      <c r="C44" s="82" t="s">
        <v>131</v>
      </c>
      <c r="D44" s="83">
        <v>4</v>
      </c>
      <c r="E44" s="82" t="s">
        <v>17</v>
      </c>
    </row>
    <row r="45" spans="3:17" x14ac:dyDescent="0.2">
      <c r="G45" s="84"/>
      <c r="H45" s="84"/>
    </row>
    <row r="46" spans="3:17" x14ac:dyDescent="0.2">
      <c r="C46" s="85" t="s">
        <v>132</v>
      </c>
      <c r="G46" s="84"/>
      <c r="H46" s="84"/>
      <c r="Q46" s="86"/>
    </row>
    <row r="47" spans="3:17" x14ac:dyDescent="0.2">
      <c r="C47" s="41" t="s">
        <v>20</v>
      </c>
      <c r="D47" s="41">
        <v>19</v>
      </c>
      <c r="E47" s="41" t="s">
        <v>21</v>
      </c>
      <c r="G47" s="84"/>
      <c r="H47" s="84"/>
    </row>
    <row r="48" spans="3:17" x14ac:dyDescent="0.2">
      <c r="C48" s="41" t="s">
        <v>22</v>
      </c>
      <c r="D48" s="41">
        <v>244</v>
      </c>
      <c r="E48" s="41" t="s">
        <v>21</v>
      </c>
      <c r="G48" s="84"/>
      <c r="H48" s="84"/>
    </row>
    <row r="49" spans="3:8" x14ac:dyDescent="0.2">
      <c r="C49" s="41" t="s">
        <v>149</v>
      </c>
      <c r="D49" s="41">
        <f>+D47+D48+1</f>
        <v>264</v>
      </c>
      <c r="E49" s="41" t="s">
        <v>21</v>
      </c>
      <c r="G49" s="84"/>
      <c r="H49" s="84"/>
    </row>
    <row r="50" spans="3:8" x14ac:dyDescent="0.2">
      <c r="C50" s="78" t="s">
        <v>25</v>
      </c>
      <c r="D50" s="41">
        <f>+D49/8</f>
        <v>33</v>
      </c>
      <c r="E50" s="41" t="s">
        <v>17</v>
      </c>
      <c r="G50" s="84"/>
      <c r="H50" s="84"/>
    </row>
    <row r="51" spans="3:8" x14ac:dyDescent="0.2">
      <c r="C51" s="41" t="s">
        <v>133</v>
      </c>
      <c r="D51" s="41">
        <v>20</v>
      </c>
      <c r="E51" s="41" t="s">
        <v>24</v>
      </c>
      <c r="G51" s="84"/>
      <c r="H51" s="84"/>
    </row>
    <row r="52" spans="3:8" x14ac:dyDescent="0.2">
      <c r="C52" s="82" t="s">
        <v>272</v>
      </c>
      <c r="D52" s="82">
        <f>Bits.per.byte*(D44+D50)/D51</f>
        <v>14.8</v>
      </c>
      <c r="E52" s="82" t="s">
        <v>1</v>
      </c>
    </row>
    <row r="53" spans="3:8" x14ac:dyDescent="0.2">
      <c r="C53" s="83" t="s">
        <v>135</v>
      </c>
      <c r="D53" s="82">
        <f>Bits.per.byte*(D43+D50)/D51</f>
        <v>29.2</v>
      </c>
      <c r="E53" s="82" t="s">
        <v>1</v>
      </c>
    </row>
    <row r="55" spans="3:8" x14ac:dyDescent="0.2">
      <c r="C55" s="85" t="s">
        <v>134</v>
      </c>
    </row>
    <row r="56" spans="3:8" x14ac:dyDescent="0.2">
      <c r="C56" s="41" t="s">
        <v>20</v>
      </c>
      <c r="D56" s="41">
        <v>19</v>
      </c>
      <c r="E56" s="41" t="s">
        <v>21</v>
      </c>
    </row>
    <row r="57" spans="3:8" x14ac:dyDescent="0.2">
      <c r="C57" s="41" t="s">
        <v>22</v>
      </c>
      <c r="D57" s="41">
        <v>39</v>
      </c>
      <c r="E57" s="41" t="s">
        <v>21</v>
      </c>
    </row>
    <row r="58" spans="3:8" x14ac:dyDescent="0.2">
      <c r="C58" s="41" t="s">
        <v>25</v>
      </c>
      <c r="D58" s="41">
        <f>+D57+D56</f>
        <v>58</v>
      </c>
      <c r="E58" s="41" t="s">
        <v>21</v>
      </c>
    </row>
    <row r="59" spans="3:8" x14ac:dyDescent="0.2">
      <c r="C59" s="41" t="s">
        <v>133</v>
      </c>
      <c r="D59" s="41">
        <f>+D58/8</f>
        <v>7.25</v>
      </c>
      <c r="E59" s="41" t="s">
        <v>17</v>
      </c>
    </row>
    <row r="60" spans="3:8" x14ac:dyDescent="0.2">
      <c r="C60" s="41" t="s">
        <v>23</v>
      </c>
      <c r="D60" s="41">
        <v>160</v>
      </c>
      <c r="E60" s="41" t="s">
        <v>24</v>
      </c>
    </row>
    <row r="61" spans="3:8" x14ac:dyDescent="0.2">
      <c r="C61" s="82" t="s">
        <v>270</v>
      </c>
      <c r="D61" s="82">
        <f>Bits.per.byte*(D44+D59)/D60</f>
        <v>0.5625</v>
      </c>
      <c r="E61" s="82" t="s">
        <v>1</v>
      </c>
    </row>
    <row r="62" spans="3:8" x14ac:dyDescent="0.2">
      <c r="C62" s="83" t="s">
        <v>136</v>
      </c>
      <c r="D62" s="82">
        <f>Bits.per.byte*(D43+D59)/D60</f>
        <v>2.3624999999999998</v>
      </c>
      <c r="E62" s="82" t="s">
        <v>1</v>
      </c>
    </row>
    <row r="64" spans="3:8" x14ac:dyDescent="0.2">
      <c r="C64" s="41" t="s">
        <v>150</v>
      </c>
      <c r="D64" s="45">
        <v>0.46899999999999997</v>
      </c>
      <c r="E64" s="238" t="s">
        <v>309</v>
      </c>
    </row>
    <row r="65" spans="3:4" x14ac:dyDescent="0.2">
      <c r="C65" s="230" t="s">
        <v>308</v>
      </c>
      <c r="D65" s="7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7"/>
  <dimension ref="A1:E14"/>
  <sheetViews>
    <sheetView workbookViewId="0">
      <selection sqref="A1:XFD1048576"/>
    </sheetView>
  </sheetViews>
  <sheetFormatPr baseColWidth="10" defaultColWidth="11.42578125" defaultRowHeight="12" x14ac:dyDescent="0.2"/>
  <cols>
    <col min="1" max="1" width="25.85546875" style="58" bestFit="1" customWidth="1"/>
    <col min="2" max="2" width="20" style="58" customWidth="1"/>
    <col min="3" max="3" width="16" style="58" customWidth="1"/>
    <col min="4" max="4" width="21.7109375" style="58" customWidth="1"/>
    <col min="5" max="16384" width="11.42578125" style="58"/>
  </cols>
  <sheetData>
    <row r="1" spans="1:5" ht="20.25" x14ac:dyDescent="0.3">
      <c r="A1" s="157" t="s">
        <v>261</v>
      </c>
    </row>
    <row r="4" spans="1:5" x14ac:dyDescent="0.2">
      <c r="A4" s="40" t="s">
        <v>95</v>
      </c>
      <c r="B4" s="40" t="s">
        <v>11</v>
      </c>
      <c r="C4" s="40" t="s">
        <v>106</v>
      </c>
    </row>
    <row r="5" spans="1:5" x14ac:dyDescent="0.2">
      <c r="A5" s="275" t="s">
        <v>48</v>
      </c>
      <c r="B5" s="89">
        <f>+'4.Demanda-Enlace'!C5</f>
        <v>3411963</v>
      </c>
      <c r="C5" s="90">
        <v>1.308E-2</v>
      </c>
      <c r="D5" s="91" t="s">
        <v>110</v>
      </c>
      <c r="E5" s="230" t="s">
        <v>278</v>
      </c>
    </row>
    <row r="6" spans="1:5" x14ac:dyDescent="0.2">
      <c r="A6" s="41" t="s">
        <v>0</v>
      </c>
      <c r="B6" s="89">
        <f>+'4.Demanda-Enlace'!C6</f>
        <v>27916489</v>
      </c>
      <c r="C6" s="90">
        <v>1.32E-2</v>
      </c>
      <c r="D6" s="92" t="s">
        <v>109</v>
      </c>
      <c r="E6" s="230" t="s">
        <v>278</v>
      </c>
    </row>
    <row r="7" spans="1:5" x14ac:dyDescent="0.2">
      <c r="A7" s="93"/>
      <c r="B7" s="93"/>
    </row>
    <row r="8" spans="1:5" x14ac:dyDescent="0.2">
      <c r="A8" s="89" t="s">
        <v>102</v>
      </c>
      <c r="B8" s="94">
        <f>+B5*C5+B6*C6</f>
        <v>413126.13084</v>
      </c>
      <c r="C8" s="95"/>
    </row>
    <row r="11" spans="1:5" x14ac:dyDescent="0.2">
      <c r="A11" s="40" t="s">
        <v>112</v>
      </c>
      <c r="B11" s="40" t="s">
        <v>111</v>
      </c>
      <c r="C11" s="40" t="s">
        <v>113</v>
      </c>
      <c r="D11" s="40" t="s">
        <v>114</v>
      </c>
    </row>
    <row r="12" spans="1:5" x14ac:dyDescent="0.2">
      <c r="A12" s="41" t="s">
        <v>103</v>
      </c>
      <c r="B12" s="42">
        <v>0.01</v>
      </c>
      <c r="C12" s="43">
        <f>+B12*$B$8</f>
        <v>4131.2613084000004</v>
      </c>
      <c r="D12" s="44">
        <f>+C12/Tipo.de.cambio.Actual</f>
        <v>1129.6858923707957</v>
      </c>
    </row>
    <row r="13" spans="1:5" x14ac:dyDescent="0.2">
      <c r="A13" s="41" t="s">
        <v>104</v>
      </c>
      <c r="B13" s="45">
        <v>5.0000000000000001E-3</v>
      </c>
      <c r="C13" s="43">
        <f t="shared" ref="C13:C14" si="0">+B13*$B$8</f>
        <v>2065.6306542000002</v>
      </c>
      <c r="D13" s="44">
        <f>+C13/Tipo.de.cambio.Actual</f>
        <v>564.84294618539786</v>
      </c>
    </row>
    <row r="14" spans="1:5" x14ac:dyDescent="0.2">
      <c r="A14" s="41" t="s">
        <v>105</v>
      </c>
      <c r="B14" s="45">
        <v>5.0000000000000001E-3</v>
      </c>
      <c r="C14" s="43">
        <f t="shared" si="0"/>
        <v>2065.6306542000002</v>
      </c>
      <c r="D14" s="44">
        <f>+C14/Tipo.de.cambio.Actual</f>
        <v>564.84294618539786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8"/>
  <dimension ref="A1:Q37"/>
  <sheetViews>
    <sheetView workbookViewId="0">
      <selection sqref="A1:XFD1048576"/>
    </sheetView>
  </sheetViews>
  <sheetFormatPr baseColWidth="10" defaultColWidth="11.42578125" defaultRowHeight="12.75" x14ac:dyDescent="0.2"/>
  <cols>
    <col min="1" max="1" width="5.42578125" style="118" customWidth="1"/>
    <col min="2" max="2" width="16.28515625" style="118" customWidth="1"/>
    <col min="3" max="3" width="30.5703125" style="118" customWidth="1"/>
    <col min="4" max="4" width="18.28515625" style="118" customWidth="1"/>
    <col min="5" max="5" width="12.5703125" style="118" bestFit="1" customWidth="1"/>
    <col min="6" max="6" width="17.140625" style="118" customWidth="1"/>
    <col min="7" max="7" width="17.140625" style="172" customWidth="1"/>
    <col min="8" max="8" width="6.140625" style="172" customWidth="1"/>
    <col min="9" max="9" width="5" style="118" customWidth="1"/>
    <col min="10" max="10" width="40.140625" style="118" customWidth="1"/>
    <col min="11" max="11" width="17.42578125" style="118" bestFit="1" customWidth="1"/>
    <col min="12" max="12" width="15.140625" style="118" customWidth="1"/>
    <col min="13" max="13" width="6.5703125" style="118" customWidth="1"/>
    <col min="14" max="14" width="24.42578125" style="118" customWidth="1"/>
    <col min="15" max="16384" width="11.42578125" style="118"/>
  </cols>
  <sheetData>
    <row r="1" spans="1:17" ht="20.25" x14ac:dyDescent="0.3">
      <c r="A1" s="157" t="s">
        <v>318</v>
      </c>
    </row>
    <row r="3" spans="1:17" x14ac:dyDescent="0.2">
      <c r="K3" s="118">
        <v>2</v>
      </c>
    </row>
    <row r="4" spans="1:17" ht="25.5" x14ac:dyDescent="0.2">
      <c r="B4" s="120" t="s">
        <v>267</v>
      </c>
      <c r="C4" s="120" t="s">
        <v>258</v>
      </c>
      <c r="D4" s="120" t="s">
        <v>201</v>
      </c>
      <c r="E4" s="120" t="s">
        <v>202</v>
      </c>
      <c r="G4" s="120" t="s">
        <v>273</v>
      </c>
      <c r="J4" s="120"/>
      <c r="K4" s="120" t="str">
        <f>INDEX(Network.services.list,K3,)</f>
        <v>Datos (MB)</v>
      </c>
      <c r="N4" s="120" t="s">
        <v>205</v>
      </c>
      <c r="O4" s="120" t="s">
        <v>194</v>
      </c>
    </row>
    <row r="5" spans="1:17" x14ac:dyDescent="0.2">
      <c r="B5" s="119" t="s">
        <v>36</v>
      </c>
      <c r="C5" s="125">
        <f>+('1.Modelo'!$E$7+'1.Modelo'!$E$8+'1.Modelo'!$E$9+'1.Modelo'!$E$10)*O12</f>
        <v>12836.766122003466</v>
      </c>
      <c r="D5" s="125">
        <f>+SUM('2.Equipamiento'!H6:H8)</f>
        <v>16845.929943283638</v>
      </c>
      <c r="E5" s="129">
        <f>C5+D5</f>
        <v>29682.696065287106</v>
      </c>
      <c r="G5" s="175">
        <f>+E5/$F$7</f>
        <v>0.31654998455771149</v>
      </c>
      <c r="J5" s="122" t="s">
        <v>203</v>
      </c>
      <c r="K5" s="123">
        <f>INDEX(Services.demand,K3,)</f>
        <v>27916489</v>
      </c>
      <c r="N5" s="119" t="s">
        <v>204</v>
      </c>
      <c r="O5" s="123">
        <f>+'4.Demanda-Enlace'!C5</f>
        <v>3411963</v>
      </c>
    </row>
    <row r="6" spans="1:17" x14ac:dyDescent="0.2">
      <c r="B6" s="119" t="s">
        <v>44</v>
      </c>
      <c r="C6" s="267">
        <f>+('1.Modelo'!$E$7+'1.Modelo'!$E$8+'1.Modelo'!$E$9+'1.Modelo'!$E$10)*O13++'1.Modelo'!E4</f>
        <v>59359.329675360197</v>
      </c>
      <c r="D6" s="125">
        <f>+SUM('2.Equipamiento'!H9:H12)</f>
        <v>1389.0126725353007</v>
      </c>
      <c r="E6" s="129">
        <f t="shared" ref="E6:E7" si="0">C6+D6</f>
        <v>60748.342347895501</v>
      </c>
      <c r="G6" s="175">
        <f t="shared" ref="G6:G7" si="1">+E6/$F$7</f>
        <v>0.64784838917046972</v>
      </c>
      <c r="J6" s="122" t="s">
        <v>209</v>
      </c>
      <c r="K6" s="125">
        <f>INDEX(Total.Monthly.Costs,,D20)</f>
        <v>87026.77260678001</v>
      </c>
      <c r="N6" s="119" t="s">
        <v>13</v>
      </c>
      <c r="O6" s="123">
        <f>+'4.Demanda-Enlace'!C6</f>
        <v>27916489</v>
      </c>
    </row>
    <row r="7" spans="1:17" x14ac:dyDescent="0.2">
      <c r="B7" s="119" t="s">
        <v>30</v>
      </c>
      <c r="C7" s="125">
        <f>+('1.Modelo'!$E$7+'1.Modelo'!$E$8+'1.Modelo'!$E$9+'1.Modelo'!$E$10)*O14</f>
        <v>2007.512619614839</v>
      </c>
      <c r="D7" s="125">
        <f>SUM('2.Equipamiento'!H13:H18)</f>
        <v>1330.8298337352937</v>
      </c>
      <c r="E7" s="129">
        <f t="shared" si="0"/>
        <v>3338.3424533501329</v>
      </c>
      <c r="F7" s="174">
        <f>+SUM(activos)</f>
        <v>93769.380866532738</v>
      </c>
      <c r="G7" s="175">
        <f t="shared" si="1"/>
        <v>3.560162627181878E-2</v>
      </c>
      <c r="H7" s="173"/>
      <c r="J7" s="121" t="s">
        <v>208</v>
      </c>
      <c r="K7" s="126">
        <f>K6/K5</f>
        <v>3.1173967688694669E-3</v>
      </c>
      <c r="N7" s="127" t="s">
        <v>206</v>
      </c>
      <c r="O7" s="127" t="s">
        <v>207</v>
      </c>
    </row>
    <row r="8" spans="1:17" x14ac:dyDescent="0.2">
      <c r="C8" s="171">
        <f>+SUM(C5:C7)</f>
        <v>74203.608416978503</v>
      </c>
      <c r="D8" s="171">
        <f>+SUM(D5:D7)</f>
        <v>19565.772449554232</v>
      </c>
      <c r="E8" s="127" t="s">
        <v>197</v>
      </c>
      <c r="F8" s="118">
        <f>+IF(F7='1.Modelo'!E11,1,0)</f>
        <v>1</v>
      </c>
    </row>
    <row r="9" spans="1:17" ht="20.25" x14ac:dyDescent="0.3">
      <c r="F9" s="219"/>
      <c r="J9" s="253" t="s">
        <v>211</v>
      </c>
      <c r="K9" s="254">
        <f>+Tipo.de.cambio.Actual*K6/K5</f>
        <v>1.140031998375564E-2</v>
      </c>
      <c r="L9" s="46" t="s">
        <v>212</v>
      </c>
    </row>
    <row r="10" spans="1:17" x14ac:dyDescent="0.2">
      <c r="K10" s="118">
        <v>1</v>
      </c>
    </row>
    <row r="11" spans="1:17" ht="27" customHeight="1" x14ac:dyDescent="0.2">
      <c r="B11" s="120" t="s">
        <v>214</v>
      </c>
      <c r="C11" s="120" t="s">
        <v>192</v>
      </c>
      <c r="D11" s="120" t="s">
        <v>193</v>
      </c>
      <c r="J11" s="120"/>
      <c r="K11" s="120" t="str">
        <f>INDEX(Network.services.list,K10,)</f>
        <v>Voz (Min)</v>
      </c>
      <c r="N11" s="120" t="s">
        <v>265</v>
      </c>
      <c r="O11" s="120" t="s">
        <v>86</v>
      </c>
    </row>
    <row r="12" spans="1:17" x14ac:dyDescent="0.2">
      <c r="B12" s="119" t="s">
        <v>36</v>
      </c>
      <c r="C12" s="169">
        <v>1</v>
      </c>
      <c r="D12" s="170">
        <f>1/MB.per.minute.HSDPA</f>
        <v>0.45295418641390212</v>
      </c>
      <c r="E12" s="118" t="s">
        <v>195</v>
      </c>
      <c r="J12" s="122" t="s">
        <v>203</v>
      </c>
      <c r="K12" s="123">
        <f>INDEX(Services.demand,K10,)</f>
        <v>3411963</v>
      </c>
      <c r="N12" s="119" t="s">
        <v>36</v>
      </c>
      <c r="O12" s="167">
        <f>+'3.Operación'!G5+'3.Operación'!G6</f>
        <v>0.81744559094022118</v>
      </c>
      <c r="P12" s="135"/>
      <c r="Q12" s="163"/>
    </row>
    <row r="13" spans="1:17" x14ac:dyDescent="0.2">
      <c r="B13" s="119" t="s">
        <v>44</v>
      </c>
      <c r="C13" s="170">
        <f>+MB.per.minute.AMR12.2.Backhaul</f>
        <v>5.3026519775390628E-2</v>
      </c>
      <c r="D13" s="169">
        <v>1</v>
      </c>
      <c r="E13" s="118" t="s">
        <v>0</v>
      </c>
      <c r="J13" s="122" t="s">
        <v>209</v>
      </c>
      <c r="K13" s="125">
        <f>INDEX(Total.Monthly.Costs,,C20)</f>
        <v>6742.6082597527293</v>
      </c>
      <c r="N13" s="119" t="s">
        <v>44</v>
      </c>
      <c r="O13" s="167">
        <f>+'3.Operación'!G7+'3.Operación'!G8</f>
        <v>5.47159547275686E-2</v>
      </c>
      <c r="P13" s="135"/>
      <c r="Q13" s="163"/>
    </row>
    <row r="14" spans="1:17" x14ac:dyDescent="0.2">
      <c r="B14" s="119" t="s">
        <v>30</v>
      </c>
      <c r="C14" s="170">
        <f>+'5.Parametros VD'!F36</f>
        <v>0.10949185180664062</v>
      </c>
      <c r="D14" s="169">
        <v>1</v>
      </c>
      <c r="E14" s="118" t="s">
        <v>0</v>
      </c>
      <c r="J14" s="121" t="s">
        <v>208</v>
      </c>
      <c r="K14" s="126">
        <f>K13/K12</f>
        <v>1.9761668751251786E-3</v>
      </c>
      <c r="N14" s="119" t="s">
        <v>30</v>
      </c>
      <c r="O14" s="167">
        <f>+'3.Operación'!G9+'3.Operación'!G10+'3.Operación'!G11+'3.Operación'!G12</f>
        <v>0.12783845433221022</v>
      </c>
      <c r="P14" s="135"/>
      <c r="Q14" s="163"/>
    </row>
    <row r="15" spans="1:17" x14ac:dyDescent="0.2">
      <c r="E15" s="127" t="s">
        <v>199</v>
      </c>
      <c r="P15" s="135"/>
      <c r="Q15" s="163"/>
    </row>
    <row r="16" spans="1:17" ht="20.25" x14ac:dyDescent="0.3">
      <c r="C16" s="118">
        <v>1</v>
      </c>
      <c r="D16" s="118">
        <v>2</v>
      </c>
      <c r="J16" s="253" t="s">
        <v>319</v>
      </c>
      <c r="K16" s="254">
        <f>+Tipo.de.cambio.Actual*K13/K12</f>
        <v>7.2268422623327777E-3</v>
      </c>
      <c r="L16" s="46" t="s">
        <v>312</v>
      </c>
      <c r="O16" s="168"/>
    </row>
    <row r="17" spans="2:15" x14ac:dyDescent="0.2">
      <c r="B17" s="120" t="s">
        <v>194</v>
      </c>
      <c r="C17" s="120" t="str">
        <f>INDEX(Network.services.list,C16,)</f>
        <v>Voz (Min)</v>
      </c>
      <c r="D17" s="120" t="str">
        <f>INDEX(Network.services.list,D16,)</f>
        <v>Datos (MB)</v>
      </c>
      <c r="O17" s="168"/>
    </row>
    <row r="18" spans="2:15" x14ac:dyDescent="0.2">
      <c r="B18" s="119" t="s">
        <v>262</v>
      </c>
      <c r="C18" s="130">
        <f>INDEX(Services.demand,C16,)</f>
        <v>3411963</v>
      </c>
      <c r="D18" s="130">
        <f>INDEX(Services.demand,D16,)</f>
        <v>27916489</v>
      </c>
      <c r="E18" s="127" t="s">
        <v>198</v>
      </c>
      <c r="O18" s="168"/>
    </row>
    <row r="20" spans="2:15" x14ac:dyDescent="0.2">
      <c r="C20" s="118">
        <v>1</v>
      </c>
      <c r="D20" s="118">
        <v>2</v>
      </c>
    </row>
    <row r="21" spans="2:15" x14ac:dyDescent="0.2">
      <c r="B21" s="120" t="s">
        <v>267</v>
      </c>
      <c r="C21" s="120" t="s">
        <v>192</v>
      </c>
      <c r="D21" s="120" t="s">
        <v>193</v>
      </c>
    </row>
    <row r="22" spans="2:15" x14ac:dyDescent="0.2">
      <c r="B22" s="119" t="s">
        <v>36</v>
      </c>
      <c r="C22" s="124" cm="1">
        <f t="array" ref="C22:D24">+RouteingFactorsAndesat*$C$29:$C$31*demanda</f>
        <v>6307.3540728649723</v>
      </c>
      <c r="D22" s="124">
        <v>23375.341992422138</v>
      </c>
      <c r="E22" s="124">
        <f t="shared" ref="E22:E24" si="2">+C22+D22</f>
        <v>29682.696065287109</v>
      </c>
    </row>
    <row r="23" spans="2:15" x14ac:dyDescent="0.2">
      <c r="B23" s="119" t="s">
        <v>44</v>
      </c>
      <c r="C23" s="124">
        <v>391.16998733910953</v>
      </c>
      <c r="D23" s="124">
        <v>60357.172360556397</v>
      </c>
      <c r="E23" s="124">
        <f t="shared" si="2"/>
        <v>60748.342347895508</v>
      </c>
    </row>
    <row r="24" spans="2:15" x14ac:dyDescent="0.2">
      <c r="B24" s="119" t="s">
        <v>30</v>
      </c>
      <c r="C24" s="124">
        <v>44.084199548647511</v>
      </c>
      <c r="D24" s="124">
        <v>3294.2582538014854</v>
      </c>
      <c r="E24" s="124">
        <f t="shared" si="2"/>
        <v>3338.3424533501329</v>
      </c>
      <c r="F24" s="128">
        <f>+SUM(E22:E24)</f>
        <v>93769.380866532752</v>
      </c>
      <c r="G24" s="173"/>
      <c r="H24" s="173"/>
    </row>
    <row r="25" spans="2:15" x14ac:dyDescent="0.2">
      <c r="C25" s="176">
        <f>+SUM(C22:C24)</f>
        <v>6742.6082597527293</v>
      </c>
      <c r="D25" s="176">
        <f>+SUM(D22:D24)</f>
        <v>87026.77260678001</v>
      </c>
      <c r="E25" s="128">
        <f>+C25+D25</f>
        <v>93769.380866532738</v>
      </c>
    </row>
    <row r="26" spans="2:15" x14ac:dyDescent="0.2">
      <c r="D26" s="127" t="s">
        <v>200</v>
      </c>
    </row>
    <row r="28" spans="2:15" ht="25.5" x14ac:dyDescent="0.2">
      <c r="B28" s="120" t="s">
        <v>267</v>
      </c>
      <c r="C28" s="120" t="s">
        <v>210</v>
      </c>
    </row>
    <row r="29" spans="2:15" x14ac:dyDescent="0.2">
      <c r="B29" s="119" t="s">
        <v>36</v>
      </c>
      <c r="C29" s="177" cm="1">
        <f t="array" ref="C29:C31">+activos/Network.element.output.1</f>
        <v>1.8485997863590467E-3</v>
      </c>
    </row>
    <row r="30" spans="2:15" x14ac:dyDescent="0.2">
      <c r="B30" s="119" t="s">
        <v>44</v>
      </c>
      <c r="C30" s="177">
        <v>2.1620617249023112E-3</v>
      </c>
    </row>
    <row r="31" spans="2:15" x14ac:dyDescent="0.2">
      <c r="B31" s="119" t="s">
        <v>30</v>
      </c>
      <c r="C31" s="177">
        <v>1.1800403173198053E-4</v>
      </c>
    </row>
    <row r="33" spans="2:3" ht="25.5" x14ac:dyDescent="0.2">
      <c r="B33" s="120" t="s">
        <v>267</v>
      </c>
      <c r="C33" s="120" t="s">
        <v>213</v>
      </c>
    </row>
    <row r="34" spans="2:3" x14ac:dyDescent="0.2">
      <c r="B34" s="119" t="s">
        <v>36</v>
      </c>
      <c r="C34" s="178">
        <f>SUMPRODUCT($C$18:$D$18,$C12:$D12)</f>
        <v>16056853.562527647</v>
      </c>
    </row>
    <row r="35" spans="2:3" x14ac:dyDescent="0.2">
      <c r="B35" s="119" t="s">
        <v>44</v>
      </c>
      <c r="C35" s="178">
        <f>SUMPRODUCT($C$18:$D$18,$C13:$D13)</f>
        <v>28097413.5234924</v>
      </c>
    </row>
    <row r="36" spans="2:3" x14ac:dyDescent="0.2">
      <c r="B36" s="119" t="s">
        <v>30</v>
      </c>
      <c r="C36" s="178">
        <f>SUMPRODUCT($C$18:$D$18,$C14:$D14)</f>
        <v>28290071.147165742</v>
      </c>
    </row>
    <row r="37" spans="2:3" x14ac:dyDescent="0.2">
      <c r="C37" s="127" t="s">
        <v>196</v>
      </c>
    </row>
  </sheetData>
  <conditionalFormatting sqref="F8">
    <cfRule type="cellIs" dxfId="1" priority="1" operator="equal">
      <formula>1</formula>
    </cfRule>
    <cfRule type="cellIs" dxfId="0" priority="2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54</vt:i4>
      </vt:variant>
    </vt:vector>
  </HeadingPairs>
  <TitlesOfParts>
    <vt:vector size="61" baseType="lpstr">
      <vt:lpstr>1.Modelo</vt:lpstr>
      <vt:lpstr>2.Equipamiento</vt:lpstr>
      <vt:lpstr>3.Operación</vt:lpstr>
      <vt:lpstr>4.Demanda-Enlace</vt:lpstr>
      <vt:lpstr>5.Parametros VD</vt:lpstr>
      <vt:lpstr>6.Estimación de Ingresos</vt:lpstr>
      <vt:lpstr>7.Cargo de datos</vt:lpstr>
      <vt:lpstr>activos</vt:lpstr>
      <vt:lpstr>Asset.lifetimes</vt:lpstr>
      <vt:lpstr>Backhaul.rate.IP</vt:lpstr>
      <vt:lpstr>BitPorSimbolo.16APSK</vt:lpstr>
      <vt:lpstr>BitPorSimbolo.32APSK</vt:lpstr>
      <vt:lpstr>BitPorSimbolo.8PSK</vt:lpstr>
      <vt:lpstr>Bits.per.byte</vt:lpstr>
      <vt:lpstr>Cargo.Osiptel</vt:lpstr>
      <vt:lpstr>Core.rate.IP</vt:lpstr>
      <vt:lpstr>Costo.Andesat</vt:lpstr>
      <vt:lpstr>CTRL.BH.days.per.month</vt:lpstr>
      <vt:lpstr>CTRL.Ratio.data.in.data.BH</vt:lpstr>
      <vt:lpstr>CTRL.Ratio.voice.in.voice.BH</vt:lpstr>
      <vt:lpstr>CTRL.WACC</vt:lpstr>
      <vt:lpstr>CTRL.WACCmensual</vt:lpstr>
      <vt:lpstr>demanda</vt:lpstr>
      <vt:lpstr>Erlangs.per.channel.rate</vt:lpstr>
      <vt:lpstr>FactorRollOff</vt:lpstr>
      <vt:lpstr>FEC2.3</vt:lpstr>
      <vt:lpstr>FEC5.6</vt:lpstr>
      <vt:lpstr>FEC9.10</vt:lpstr>
      <vt:lpstr>Header.compression</vt:lpstr>
      <vt:lpstr>Header.compressionUL</vt:lpstr>
      <vt:lpstr>Investment</vt:lpstr>
      <vt:lpstr>Kbits.per.Mbits</vt:lpstr>
      <vt:lpstr>MB.per.minute.AMR12.2.Backhaul</vt:lpstr>
      <vt:lpstr>MB.per.minute.HSDPA</vt:lpstr>
      <vt:lpstr>Network.capex.by.element</vt:lpstr>
      <vt:lpstr>Network.element.output.1</vt:lpstr>
      <vt:lpstr>Network.services.list</vt:lpstr>
      <vt:lpstr>Ratio.Voz.OffNetEntrante</vt:lpstr>
      <vt:lpstr>Ratio.Voz.OffNetSaliente</vt:lpstr>
      <vt:lpstr>Ratio.Voz.OnNet</vt:lpstr>
      <vt:lpstr>RatioActividadCodec</vt:lpstr>
      <vt:lpstr>RatioEnlace</vt:lpstr>
      <vt:lpstr>RollOff</vt:lpstr>
      <vt:lpstr>RouteingFactorsAndesat</vt:lpstr>
      <vt:lpstr>seconds.per.hour</vt:lpstr>
      <vt:lpstr>seconds.per.minute</vt:lpstr>
      <vt:lpstr>Services.demand</vt:lpstr>
      <vt:lpstr>Sites</vt:lpstr>
      <vt:lpstr>Tipo.de.cambio.Actual</vt:lpstr>
      <vt:lpstr>Tipo.de.cambio.Andesat</vt:lpstr>
      <vt:lpstr>Tipo.de.cambio.AndesatNuevo</vt:lpstr>
      <vt:lpstr>Total.Monthly.Costs</vt:lpstr>
      <vt:lpstr>Total.Sites</vt:lpstr>
      <vt:lpstr>Trafico</vt:lpstr>
      <vt:lpstr>TraficoTemp</vt:lpstr>
      <vt:lpstr>UMTS.channel.rate</vt:lpstr>
      <vt:lpstr>Utilisation.BSC.Core</vt:lpstr>
      <vt:lpstr>Utilisation.Core.Core</vt:lpstr>
      <vt:lpstr>Utilisation.Hub.Core</vt:lpstr>
      <vt:lpstr>Utilisation.LMA</vt:lpstr>
      <vt:lpstr>Utilisation.RNC.Core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Ruben Carlos Tornero Cruzatt</dc:creator>
  <cp:lastModifiedBy>Usuario</cp:lastModifiedBy>
  <dcterms:created xsi:type="dcterms:W3CDTF">2015-06-05T18:19:34Z</dcterms:created>
  <dcterms:modified xsi:type="dcterms:W3CDTF">2021-12-15T20:59:04Z</dcterms:modified>
</cp:coreProperties>
</file>