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0815" windowHeight="9600"/>
  </bookViews>
  <sheets>
    <sheet name="Resultados" sheetId="9" r:id="rId1"/>
    <sheet name="Costos" sheetId="8" r:id="rId2"/>
    <sheet name="Anualidades" sheetId="13" r:id="rId3"/>
    <sheet name="INPUT-ANUALIZACION" sheetId="45" r:id="rId4"/>
    <sheet name="Tráfico y costos TPP" sheetId="7" r:id="rId5"/>
    <sheet name="INPUT PRECIARIO PLATAFORMA" sheetId="46" r:id="rId6"/>
    <sheet name="INPUT COSTEO PLATAFORMA" sheetId="49" r:id="rId7"/>
    <sheet name="INPUT DIMENSIONAM PLAT" sheetId="47" r:id="rId8"/>
    <sheet name="Tipos de cambio" sheetId="5" r:id="rId9"/>
  </sheets>
  <externalReferences>
    <externalReference r:id="rId10"/>
  </externalReferences>
  <definedNames>
    <definedName name="__f" hidden="1">{#N/A,#N/A,FALSE,"$170M Cash";#N/A,#N/A,FALSE,"$250M Cash";#N/A,#N/A,FALSE,"$325M Cash"}</definedName>
    <definedName name="__new11" localSheetId="7" hidden="1">{#N/A,#N/A,FALSE,"Global by BU";#N/A,#N/A,FALSE,"U.S. by BU";#N/A,#N/A,FALSE,"Canada by BU";#N/A,#N/A,FALSE,"Europe by BU";#N/A,#N/A,FALSE,"Asia by BU";#N/A,#N/A,FALSE,"Cala by BU"}</definedName>
    <definedName name="__new11" hidden="1">{#N/A,#N/A,FALSE,"Global by BU";#N/A,#N/A,FALSE,"U.S. by BU";#N/A,#N/A,FALSE,"Canada by BU";#N/A,#N/A,FALSE,"Europe by BU";#N/A,#N/A,FALSE,"Asia by BU";#N/A,#N/A,FALSE,"Cala by BU"}</definedName>
    <definedName name="_14__123Graph_ACHART_12" hidden="1">#REF!</definedName>
    <definedName name="_16__123Graph_ACHART_13" hidden="1">#REF!</definedName>
    <definedName name="_18__123Graph_ACHART_14" hidden="1">#REF!</definedName>
    <definedName name="_20__123Graph_BCHART_12" hidden="1">#REF!</definedName>
    <definedName name="_22__123Graph_BCHART_13" hidden="1">#REF!</definedName>
    <definedName name="_24__123Graph_BCHART_14" hidden="1">#REF!</definedName>
    <definedName name="_26__123Graph_BCHART_5" hidden="1">[1]MEX95IB!#REF!</definedName>
    <definedName name="_28__123Graph_CCHART_12" hidden="1">#REF!</definedName>
    <definedName name="_30__123Graph_CCHART_13" hidden="1">#REF!</definedName>
    <definedName name="_32__123Graph_CCHART_14" hidden="1">#REF!</definedName>
    <definedName name="_34__123Graph_XCHART_12" hidden="1">#REF!</definedName>
    <definedName name="_36__123Graph_XCHART_13" hidden="1">#REF!</definedName>
    <definedName name="_38__123Graph_XCHART_14" hidden="1">#REF!</definedName>
    <definedName name="_f" hidden="1">{#N/A,#N/A,FALSE,"$170M Cash";#N/A,#N/A,FALSE,"$250M Cash";#N/A,#N/A,FALSE,"$325M Cash"}</definedName>
    <definedName name="_new11" hidden="1">{#N/A,#N/A,FALSE,"Global by BU";#N/A,#N/A,FALSE,"U.S. by BU";#N/A,#N/A,FALSE,"Canada by BU";#N/A,#N/A,FALSE,"Europe by BU";#N/A,#N/A,FALSE,"Asia by BU";#N/A,#N/A,FALSE,"Cala by BU"}</definedName>
    <definedName name="_new111" hidden="1">{#N/A,#N/A,FALSE,"Global by BU";#N/A,#N/A,FALSE,"U.S. by BU";#N/A,#N/A,FALSE,"Canada by BU";#N/A,#N/A,FALSE,"Europe by BU";#N/A,#N/A,FALSE,"Asia by BU";#N/A,#N/A,FALSE,"Cala by BU"}</definedName>
    <definedName name="a" localSheetId="7" hidden="1">{"'Apr-00'!$B$4:$AD$44"}</definedName>
    <definedName name="a" hidden="1">{"'Apr-00'!$B$4:$AD$44"}</definedName>
    <definedName name="aa" localSheetId="7" hidden="1">{"'Apr-00'!$B$4:$AD$44"}</definedName>
    <definedName name="aa" hidden="1">{"'Apr-00'!$B$4:$AD$44"}</definedName>
    <definedName name="aaa" localSheetId="7" hidden="1">{"'Apr-00'!$B$4:$AD$44"}</definedName>
    <definedName name="aaa" hidden="1">{"'Apr-00'!$B$4:$AD$44"}</definedName>
    <definedName name="ale" localSheetId="7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l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lesesasdf" localSheetId="7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lesesasdf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anscount" hidden="1">1</definedName>
    <definedName name="b" hidden="1">{"'Apr-00'!$B$4:$AD$44"}</definedName>
    <definedName name="Benchmark_HHI" hidden="1">{"'Directory'!$A$72:$E$91"}</definedName>
    <definedName name="d" hidden="1">{#N/A,#N/A,FALSE,"$170M Cash";#N/A,#N/A,FALSE,"$250M Cash";#N/A,#N/A,FALSE,"$325M Cash"}</definedName>
    <definedName name="dga" localSheetId="7" hidden="1">{#N/A,#N/A,FALSE,"$170M Cash";#N/A,#N/A,FALSE,"$250M Cash";#N/A,#N/A,FALSE,"$325M Cash"}</definedName>
    <definedName name="dga" hidden="1">{#N/A,#N/A,FALSE,"$170M Cash";#N/A,#N/A,FALSE,"$250M Cash";#N/A,#N/A,FALSE,"$325M Cash"}</definedName>
    <definedName name="HTML_CodePage" hidden="1">1252</definedName>
    <definedName name="HTML_Control" localSheetId="7" hidden="1">{"'Apr-00'!$B$4:$AD$44"}</definedName>
    <definedName name="HTML_Control" hidden="1">{"'Apr-00'!$B$4:$AD$44"}</definedName>
    <definedName name="HTML_Description" hidden="1">""</definedName>
    <definedName name="HTML_Email" hidden="1">""</definedName>
    <definedName name="HTML_Header" hidden="1">"Service Provider March 31, 2000 Headcount"</definedName>
    <definedName name="HTML_LastUpdate" hidden="1">"4/11/00"</definedName>
    <definedName name="HTML_LineAfter" hidden="1">FALSE</definedName>
    <definedName name="HTML_LineBefore" hidden="1">FALSE</definedName>
    <definedName name="HTML_Name" hidden="1">"Craig Hurt/Ken Knight"</definedName>
    <definedName name="HTML_OBDlg2" hidden="1">TRUE</definedName>
    <definedName name="HTML_OBDlg4" hidden="1">TRUE</definedName>
    <definedName name="HTML_OS" hidden="1">0</definedName>
    <definedName name="HTML_PathFile" hidden="1">"E:\Heads\html docs\events.htm"</definedName>
    <definedName name="HTML_Title" hidden="1">"SP&amp;CG April 2000 headcount"</definedName>
    <definedName name="HTMLControl" localSheetId="7" hidden="1">{"'Edit'!$A$1:$V$2277"}</definedName>
    <definedName name="HTMLControl" hidden="1">{"'Edit'!$A$1:$V$2277"}</definedName>
    <definedName name="IQ_ADDIN" hidden="1">"AUTO"</definedName>
    <definedName name="jim" hidden="1">{"'Directory'!$A$72:$E$91"}</definedName>
    <definedName name="jj" localSheetId="7" hidden="1">{"'Apr-00'!$B$4:$AD$44"}</definedName>
    <definedName name="jj" hidden="1">{"'Apr-00'!$B$4:$AD$44"}</definedName>
    <definedName name="l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ll" localSheetId="7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ll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_PlaceofPath" hidden="1">"\\SNYCEQT0100\HOME\LZURLO\DATA\TELMEX\Models\tmx_vdf.xls"</definedName>
    <definedName name="na" localSheetId="7" hidden="1">{#N/A,#N/A,FALSE,"$170M Cash";#N/A,#N/A,FALSE,"$250M Cash";#N/A,#N/A,FALSE,"$325M Cash"}</definedName>
    <definedName name="na" hidden="1">{#N/A,#N/A,FALSE,"$170M Cash";#N/A,#N/A,FALSE,"$250M Cash";#N/A,#N/A,FALSE,"$325M Cash"}</definedName>
    <definedName name="new" localSheetId="7" hidden="1">{#N/A,#N/A,FALSE,"Global by BU";#N/A,#N/A,FALSE,"U.S. by BU";#N/A,#N/A,FALSE,"Canada by BU";#N/A,#N/A,FALSE,"Europe by BU";#N/A,#N/A,FALSE,"Asia by BU";#N/A,#N/A,FALSE,"Cala by BU"}</definedName>
    <definedName name="new" hidden="1">{#N/A,#N/A,FALSE,"Global by BU";#N/A,#N/A,FALSE,"U.S. by BU";#N/A,#N/A,FALSE,"Canada by BU";#N/A,#N/A,FALSE,"Europe by BU";#N/A,#N/A,FALSE,"Asia by BU";#N/A,#N/A,FALSE,"Cala by BU"}</definedName>
    <definedName name="newbel" hidden="1">{"'Directory'!$A$72:$E$91"}</definedName>
    <definedName name="newbls" hidden="1">{"'Directory'!$A$72:$E$91"}</definedName>
    <definedName name="newt" hidden="1">{"'Directory'!$A$72:$E$91"}</definedName>
    <definedName name="newwcom" hidden="1">{"'Directory'!$A$72:$E$91"}</definedName>
    <definedName name="nnn" hidden="1">{#N/A,#N/A,FALSE,"$170M Cash";#N/A,#N/A,FALSE,"$250M Cash";#N/A,#N/A,FALSE,"$325M Cash"}</definedName>
    <definedName name="pppp" localSheetId="7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localSheetId="7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rint" localSheetId="7" hidden="1">{#N/A,#N/A,FALSE,"$170M Cash";#N/A,#N/A,FALSE,"$250M Cash";#N/A,#N/A,FALSE,"$325M Cash"}</definedName>
    <definedName name="print" hidden="1">{#N/A,#N/A,FALSE,"$170M Cash";#N/A,#N/A,FALSE,"$250M Cash";#N/A,#N/A,FALSE,"$325M Cash"}</definedName>
    <definedName name="q" hidden="1">{"'Edit'!$A$1:$V$2277"}</definedName>
    <definedName name="qqq" localSheetId="7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localSheetId="7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7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7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s" hidden="1">{#N/A,#N/A,FALSE,"Global by BU";#N/A,#N/A,FALSE,"U.S. by BU";#N/A,#N/A,FALSE,"Canada by BU";#N/A,#N/A,FALSE,"Europe by BU";#N/A,#N/A,FALSE,"Asia by BU";#N/A,#N/A,FALSE,"Cala by BU"}</definedName>
    <definedName name="sApOFM">Resultados!$D$19</definedName>
    <definedName name="sencount" hidden="1">1</definedName>
    <definedName name="sMargCostCom">Resultados!$D$17</definedName>
    <definedName name="sMarkupPlanif">Resultados!$D$18</definedName>
    <definedName name="sVAP">Resultados!$D$15</definedName>
    <definedName name="sVU">Resultados!$D$16</definedName>
    <definedName name="t" localSheetId="7" hidden="1">{"'Apr-00'!$B$4:$AD$44"}</definedName>
    <definedName name="t" hidden="1">{"'Apr-00'!$B$4:$AD$44"}</definedName>
    <definedName name="Test" hidden="1">{"'Edit'!$A$1:$V$2277"}</definedName>
    <definedName name="vv" hidden="1">{"'Apr-00'!$B$4:$AD$44"}</definedName>
    <definedName name="w" hidden="1">{"'Apr-00'!$B$4:$AD$44"}</definedName>
    <definedName name="WACC">Resultados!$D$14</definedName>
    <definedName name="wrn.ANALISIS._.SENSIBILIDAD." localSheetId="7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forecast." localSheetId="7" hidden="1">{#N/A,#N/A,FALSE,"model"}</definedName>
    <definedName name="wrn.forecast." hidden="1">{#N/A,#N/A,FALSE,"model"}</definedName>
    <definedName name="wrn.forecast2" localSheetId="7" hidden="1">{#N/A,#N/A,FALSE,"model"}</definedName>
    <definedName name="wrn.forecast2" hidden="1">{#N/A,#N/A,FALSE,"model"}</definedName>
    <definedName name="wrn.forecastassumptions." localSheetId="7" hidden="1">{#N/A,#N/A,FALSE,"model"}</definedName>
    <definedName name="wrn.forecastassumptions." hidden="1">{#N/A,#N/A,FALSE,"model"}</definedName>
    <definedName name="wrn.forecastassumptions2" localSheetId="7" hidden="1">{#N/A,#N/A,FALSE,"model"}</definedName>
    <definedName name="wrn.forecastassumptions2" hidden="1">{#N/A,#N/A,FALSE,"model"}</definedName>
    <definedName name="wrn.forecastROIC." localSheetId="7" hidden="1">{#N/A,#N/A,FALSE,"model"}</definedName>
    <definedName name="wrn.forecastROIC." hidden="1">{#N/A,#N/A,FALSE,"model"}</definedName>
    <definedName name="wrn.forecastROIC2" localSheetId="7" hidden="1">{#N/A,#N/A,FALSE,"model"}</definedName>
    <definedName name="wrn.forecastROIC2" hidden="1">{#N/A,#N/A,FALSE,"model"}</definedName>
    <definedName name="wrn.history." localSheetId="7" hidden="1">{#N/A,#N/A,FALSE,"model"}</definedName>
    <definedName name="wrn.history." hidden="1">{#N/A,#N/A,FALSE,"model"}</definedName>
    <definedName name="wrn.history2" localSheetId="7" hidden="1">{#N/A,#N/A,FALSE,"model"}</definedName>
    <definedName name="wrn.history2" hidden="1">{#N/A,#N/A,FALSE,"model"}</definedName>
    <definedName name="wrn.histROIC." localSheetId="7" hidden="1">{#N/A,#N/A,FALSE,"model"}</definedName>
    <definedName name="wrn.histROIC." hidden="1">{#N/A,#N/A,FALSE,"model"}</definedName>
    <definedName name="wrn.histROIC2" localSheetId="7" hidden="1">{#N/A,#N/A,FALSE,"model"}</definedName>
    <definedName name="wrn.histROIC2" hidden="1">{#N/A,#N/A,FALSE,"model"}</definedName>
    <definedName name="wrn.Informe._.Mensual." localSheetId="7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7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LPU._.MG." localSheetId="7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wrn.LPU._.MG." hidden="1">{"MG-2002-F1",#N/A,FALSE,"PPU-Telemig";"MG-2002-F2",#N/A,FALSE,"PPU-Telemig";"MG-2002-F3",#N/A,FALSE,"PPU-Telemig";"MG-2002-F4",#N/A,FALSE,"PPU-Telemig";"MG-2003-F1",#N/A,FALSE,"PPU-Telemig";"MG-2004-F1",#N/A,FALSE,"PPU-Telemig"}</definedName>
    <definedName name="wrn.Memoria97." localSheetId="7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7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nth._.Report._.Package." localSheetId="7" hidden="1">{#N/A,#N/A,FALSE,"Global Wls Trend";#N/A,#N/A,FALSE,"Region Trend";#N/A,#N/A,FALSE,"PBU Trend"}</definedName>
    <definedName name="wrn.Month._.Report._.Package." hidden="1">{#N/A,#N/A,FALSE,"Global Wls Trend";#N/A,#N/A,FALSE,"Region Trend";#N/A,#N/A,FALSE,"PBU Trend"}</definedName>
    <definedName name="wrn.Monthly._.Report._.Package." localSheetId="7" hidden="1">{#N/A,#N/A,FALSE,"Global by BU";#N/A,#N/A,FALSE,"U.S. by BU";#N/A,#N/A,FALSE,"Canada by BU";#N/A,#N/A,FALSE,"Europe by BU";#N/A,#N/A,FALSE,"Asia by BU";#N/A,#N/A,FALSE,"Cala by BU"}</definedName>
    <definedName name="wrn.Monthly._.Report._.Package." hidden="1">{#N/A,#N/A,FALSE,"Global by BU";#N/A,#N/A,FALSE,"U.S. by BU";#N/A,#N/A,FALSE,"Canada by BU";#N/A,#N/A,FALSE,"Europe by BU";#N/A,#N/A,FALSE,"Asia by BU";#N/A,#N/A,FALSE,"Cala by BU"}</definedName>
    <definedName name="wrn.print._.all." localSheetId="7" hidden="1">{#N/A,#N/A,FALSE,"$170M Cash";#N/A,#N/A,FALSE,"$250M Cash";#N/A,#N/A,FALSE,"$325M Cash"}</definedName>
    <definedName name="wrn.print._.all." hidden="1">{#N/A,#N/A,FALSE,"$170M Cash";#N/A,#N/A,FALSE,"$250M Cash";#N/A,#N/A,FALSE,"$325M Cash"}</definedName>
    <definedName name="wrn.TOTAL." localSheetId="7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localSheetId="7" hidden="1">{#N/A,#N/A,FALSE,"model"}</definedName>
    <definedName name="wrn1.history" hidden="1">{#N/A,#N/A,FALSE,"model"}</definedName>
    <definedName name="wrn1.print._.all." localSheetId="7" hidden="1">{#N/A,#N/A,FALSE,"$170M Cash";#N/A,#N/A,FALSE,"$250M Cash";#N/A,#N/A,FALSE,"$325M Cash"}</definedName>
    <definedName name="wrn1.print._.all." hidden="1">{#N/A,#N/A,FALSE,"$170M Cash";#N/A,#N/A,FALSE,"$250M Cash";#N/A,#N/A,FALSE,"$325M Cash"}</definedName>
    <definedName name="wrn3.histroic" localSheetId="7" hidden="1">{#N/A,#N/A,FALSE,"model"}</definedName>
    <definedName name="wrn3.histroic" hidden="1">{#N/A,#N/A,FALSE,"model"}</definedName>
    <definedName name="wrt" localSheetId="7" hidden="1">{#N/A,#N/A,FALSE,"$170M Cash";#N/A,#N/A,FALSE,"$250M Cash";#N/A,#N/A,FALSE,"$325M Cash"}</definedName>
    <definedName name="wrt" hidden="1">{#N/A,#N/A,FALSE,"$170M Cash";#N/A,#N/A,FALSE,"$250M Cash";#N/A,#N/A,FALSE,"$325M Cash"}</definedName>
    <definedName name="xo" localSheetId="7" hidden="1">{#N/A,#N/A,FALSE,"Global by BU";#N/A,#N/A,FALSE,"U.S. by BU";#N/A,#N/A,FALSE,"Canada by BU";#N/A,#N/A,FALSE,"Europe by BU";#N/A,#N/A,FALSE,"Asia by BU";#N/A,#N/A,FALSE,"Cala by BU"}</definedName>
    <definedName name="xo" hidden="1">{#N/A,#N/A,FALSE,"Global by BU";#N/A,#N/A,FALSE,"U.S. by BU";#N/A,#N/A,FALSE,"Canada by BU";#N/A,#N/A,FALSE,"Europe by BU";#N/A,#N/A,FALSE,"Asia by BU";#N/A,#N/A,FALSE,"Cala by BU"}</definedName>
    <definedName name="xxx" localSheetId="7" hidden="1">{#N/A,#N/A,FALSE,"model"}</definedName>
    <definedName name="xxx" hidden="1">{#N/A,#N/A,FALSE,"model"}</definedName>
  </definedNames>
  <calcPr calcId="125725" iterateCount="1000"/>
</workbook>
</file>

<file path=xl/calcChain.xml><?xml version="1.0" encoding="utf-8"?>
<calcChain xmlns="http://schemas.openxmlformats.org/spreadsheetml/2006/main">
  <c r="G21" i="47"/>
  <c r="O50" i="7" l="1"/>
  <c r="N50"/>
  <c r="M50"/>
  <c r="L50"/>
  <c r="K50"/>
  <c r="J50"/>
  <c r="I50"/>
  <c r="H50"/>
  <c r="G50"/>
  <c r="F50"/>
  <c r="E50"/>
  <c r="P50" s="1"/>
  <c r="P48"/>
  <c r="O48"/>
  <c r="N48"/>
  <c r="L48"/>
  <c r="K48"/>
  <c r="J48"/>
  <c r="I48"/>
  <c r="H48"/>
  <c r="G48"/>
  <c r="F48"/>
  <c r="E48"/>
  <c r="P41"/>
  <c r="P39"/>
  <c r="D9" i="49"/>
  <c r="D13" l="1"/>
  <c r="D20" l="1"/>
  <c r="C61" i="9"/>
  <c r="G47"/>
  <c r="G48" s="1"/>
  <c r="G34"/>
  <c r="G35" s="1"/>
  <c r="Q41" i="7"/>
  <c r="D48"/>
  <c r="D50" s="1"/>
  <c r="D51" s="1"/>
  <c r="P49"/>
  <c r="E51"/>
  <c r="F51"/>
  <c r="G51"/>
  <c r="H51"/>
  <c r="I51"/>
  <c r="J51"/>
  <c r="K51"/>
  <c r="L51"/>
  <c r="M51"/>
  <c r="N51"/>
  <c r="O51"/>
  <c r="P51"/>
  <c r="N22" i="47" l="1"/>
  <c r="N27" s="1"/>
  <c r="N21"/>
  <c r="N26" s="1"/>
  <c r="N20"/>
  <c r="N19"/>
  <c r="N18"/>
  <c r="N25" s="1"/>
  <c r="F22"/>
  <c r="F20" l="1"/>
  <c r="G20" s="1"/>
  <c r="H20" s="1"/>
  <c r="G22"/>
  <c r="J22" s="1"/>
  <c r="J21"/>
  <c r="I21"/>
  <c r="F19"/>
  <c r="G19" s="1"/>
  <c r="F17"/>
  <c r="G17" s="1"/>
  <c r="G18" s="1"/>
  <c r="H18" s="1"/>
  <c r="H22" l="1"/>
  <c r="K22" s="1"/>
  <c r="I22"/>
  <c r="J18"/>
  <c r="I18"/>
  <c r="I20"/>
  <c r="J20"/>
  <c r="K21"/>
  <c r="I19"/>
  <c r="J19"/>
  <c r="H19"/>
  <c r="K18" l="1"/>
  <c r="K20"/>
  <c r="K19"/>
  <c r="K23" l="1"/>
  <c r="D16" i="49" s="1"/>
  <c r="D17" s="1"/>
  <c r="D21" s="1"/>
  <c r="D22" s="1"/>
  <c r="D29" s="1"/>
  <c r="O21" i="47" l="1"/>
  <c r="O18"/>
  <c r="O25" s="1"/>
  <c r="O22"/>
  <c r="O19"/>
  <c r="O20"/>
  <c r="D39" i="49"/>
  <c r="Q21" i="47" l="1"/>
  <c r="Q18" s="1"/>
  <c r="P22" s="1"/>
  <c r="O27" s="1"/>
  <c r="Q19" l="1"/>
  <c r="Q20"/>
  <c r="P21"/>
  <c r="O26" s="1"/>
  <c r="O24" s="1"/>
  <c r="D20" i="13" s="1"/>
  <c r="F45" i="8" l="1"/>
  <c r="F66" s="1"/>
  <c r="F46"/>
  <c r="F53" s="1"/>
  <c r="B35" i="45" l="1"/>
  <c r="B33"/>
  <c r="B31"/>
  <c r="B29"/>
  <c r="B27"/>
  <c r="B25"/>
  <c r="B23"/>
  <c r="B21"/>
  <c r="B19"/>
  <c r="B17"/>
  <c r="B15"/>
  <c r="B13"/>
  <c r="B11"/>
  <c r="B9"/>
  <c r="B7"/>
  <c r="B34"/>
  <c r="B32"/>
  <c r="B30"/>
  <c r="B28"/>
  <c r="B26"/>
  <c r="B24"/>
  <c r="B22"/>
  <c r="B20"/>
  <c r="B18"/>
  <c r="B16"/>
  <c r="B14"/>
  <c r="B12"/>
  <c r="B10"/>
  <c r="B8"/>
  <c r="B6"/>
  <c r="E25" i="13" l="1"/>
  <c r="E26"/>
  <c r="F29" i="7"/>
  <c r="F67" i="8"/>
  <c r="F60" l="1"/>
  <c r="F69" l="1"/>
  <c r="D38" i="49" l="1"/>
  <c r="D40" s="1"/>
  <c r="D47" s="1"/>
  <c r="D31" i="13" s="1"/>
  <c r="E31" l="1"/>
  <c r="F38" i="8" s="1"/>
  <c r="F39" s="1"/>
  <c r="F52"/>
  <c r="F54" l="1"/>
  <c r="D18" l="1"/>
  <c r="D20"/>
  <c r="G43" i="9" l="1"/>
  <c r="G44" s="1"/>
  <c r="G50" s="1"/>
  <c r="G30"/>
  <c r="D28" i="49" l="1"/>
  <c r="D30" s="1"/>
  <c r="D45" s="1"/>
  <c r="D25" i="13" s="1"/>
  <c r="F25" l="1"/>
  <c r="G25" l="1"/>
  <c r="F29" i="8" s="1"/>
  <c r="F28" s="1"/>
  <c r="D33" i="49" l="1"/>
  <c r="D35" s="1"/>
  <c r="D46" s="1"/>
  <c r="D26" i="13" s="1"/>
  <c r="F26" l="1"/>
  <c r="G26" s="1"/>
  <c r="F31" i="8" s="1"/>
  <c r="F30" s="1"/>
  <c r="F32" l="1"/>
  <c r="D17" l="1"/>
  <c r="G29" i="9" l="1"/>
  <c r="G31" s="1"/>
  <c r="G37" s="1"/>
  <c r="G52" s="1"/>
  <c r="G54" l="1"/>
  <c r="G56" s="1"/>
  <c r="C23" s="1"/>
</calcChain>
</file>

<file path=xl/sharedStrings.xml><?xml version="1.0" encoding="utf-8"?>
<sst xmlns="http://schemas.openxmlformats.org/spreadsheetml/2006/main" count="232" uniqueCount="165">
  <si>
    <t>Tipo de cambio USD/EUR</t>
  </si>
  <si>
    <t>Tipo de cambio USD/PEN</t>
  </si>
  <si>
    <t>Average</t>
  </si>
  <si>
    <t>Costos de emisión y distribución de las TPP</t>
  </si>
  <si>
    <t>Concepto</t>
  </si>
  <si>
    <t>Unidad</t>
  </si>
  <si>
    <t>S/. por tarjeta física</t>
  </si>
  <si>
    <t>Número de unidades tarjetas físicas por mes</t>
  </si>
  <si>
    <t>Comisión de ventas</t>
  </si>
  <si>
    <t>Costo</t>
  </si>
  <si>
    <t>WACC</t>
  </si>
  <si>
    <t>Costo de la Plataforma Pre-pago por minuto de tráfico</t>
  </si>
  <si>
    <t>USD/minuto</t>
  </si>
  <si>
    <t>Supuestos</t>
  </si>
  <si>
    <t>Proyecto</t>
  </si>
  <si>
    <t>USD</t>
  </si>
  <si>
    <t>Total</t>
  </si>
  <si>
    <t>Variación anual de precios</t>
  </si>
  <si>
    <t>Vida útil de los activos (años)</t>
  </si>
  <si>
    <t>Costo de capital anual (USD)</t>
  </si>
  <si>
    <t>CAPEX</t>
  </si>
  <si>
    <t>OPEX</t>
  </si>
  <si>
    <t>Captación de clientes</t>
  </si>
  <si>
    <t>Coste total</t>
  </si>
  <si>
    <t>Pago TX Tempresas</t>
  </si>
  <si>
    <t>Pago TEMpresas (PxQ) US$</t>
  </si>
  <si>
    <t>TC</t>
  </si>
  <si>
    <t>Pago TEMpresas (PxQ) S/.</t>
  </si>
  <si>
    <t># de Promotores</t>
  </si>
  <si>
    <t>Promedio Prom</t>
  </si>
  <si>
    <t>TOTAL MES</t>
  </si>
  <si>
    <t>Viáticos</t>
  </si>
  <si>
    <t>Costes recargas virtuales</t>
  </si>
  <si>
    <t>Costes recargas virtuales y físicas</t>
  </si>
  <si>
    <t>Recargas</t>
  </si>
  <si>
    <t>Total en USD</t>
  </si>
  <si>
    <t>REALES 2009 (soles)</t>
  </si>
  <si>
    <t>CAPEX y OPEX</t>
  </si>
  <si>
    <t>Costes de Tarjetas Virtuales</t>
  </si>
  <si>
    <t>Costos TPP</t>
  </si>
  <si>
    <t>COSTOS DE TPP Y OTROS</t>
  </si>
  <si>
    <t>Parte fija</t>
  </si>
  <si>
    <t>Parte variable</t>
  </si>
  <si>
    <t>TOTAL</t>
  </si>
  <si>
    <t>Costo (USD)</t>
  </si>
  <si>
    <t>Conceptos de gastos de red relacionados a plataforma prepago y recargas</t>
  </si>
  <si>
    <t>Margen por costes comunes</t>
  </si>
  <si>
    <t>CAPEX DE RED</t>
  </si>
  <si>
    <t>CAPEX DE SISTEMAS</t>
  </si>
  <si>
    <t>TOTAL CAPEX</t>
  </si>
  <si>
    <t>Coste (USD)</t>
  </si>
  <si>
    <t>Costo unitario (impresión, almacenaje, distribución)</t>
  </si>
  <si>
    <t>Impresión, Distribución y Almacenaje de Tarjetas Físicas</t>
  </si>
  <si>
    <t>COSTOS INCLUIDOS</t>
  </si>
  <si>
    <t>Mark-up de planificación</t>
  </si>
  <si>
    <t>Total (USD)</t>
  </si>
  <si>
    <t>Total publicidad</t>
  </si>
  <si>
    <t>Total recargas</t>
  </si>
  <si>
    <t>unidades</t>
  </si>
  <si>
    <t>Costo unitario  USD</t>
  </si>
  <si>
    <t>Aportación a OSIPTEL, FITEL y MTC</t>
  </si>
  <si>
    <t>Número de líneas Telefónica Móviles</t>
  </si>
  <si>
    <t>Otros costos - publicidad, recargas y post-venta presencial</t>
  </si>
  <si>
    <t>Total post venta presencial</t>
  </si>
  <si>
    <t>SMS</t>
  </si>
  <si>
    <t>MMS</t>
  </si>
  <si>
    <t>CONCEPTO</t>
  </si>
  <si>
    <t>PLATAFORMA</t>
  </si>
  <si>
    <t>TARJETAS</t>
  </si>
  <si>
    <t>LRIC</t>
  </si>
  <si>
    <t>SUB TOTAL</t>
  </si>
  <si>
    <t>COSTOS</t>
  </si>
  <si>
    <t>TRAFICOS</t>
  </si>
  <si>
    <t>TARJETAS FISICAS</t>
  </si>
  <si>
    <t>TARJETAS VIRTUALES</t>
  </si>
  <si>
    <t>TRAFICO VOZ</t>
  </si>
  <si>
    <t>TRAFICO SMS</t>
  </si>
  <si>
    <t>TRAFICO MMS</t>
  </si>
  <si>
    <t>Drivers de asignacion de costos</t>
  </si>
  <si>
    <t xml:space="preserve">Porcentaje de asignacion de costos totales hacia a servicios de voz con tarjetas fisicas </t>
  </si>
  <si>
    <t>Porcentaje de asignacion de costos totales hacia a servicios de voz con tarjetas virtuales</t>
  </si>
  <si>
    <t>ABONADOS</t>
  </si>
  <si>
    <t>RESUMEN</t>
  </si>
  <si>
    <t>INVERSION PLATAFORMA</t>
  </si>
  <si>
    <t>OPEX RED Y SISTEMAS</t>
  </si>
  <si>
    <t>Años</t>
  </si>
  <si>
    <t>CALCULO DEL COSTO UNITARIO POR PLATAFORMA DE PAGO RED INTELIGENTE PARA RED MOVIL</t>
  </si>
  <si>
    <t>RESULTADO</t>
  </si>
  <si>
    <t>COSTO</t>
  </si>
  <si>
    <t>CONSTANTE</t>
  </si>
  <si>
    <t>CAPACIDAD 1 PLATAFORMA</t>
  </si>
  <si>
    <t>DURACION MEDIA DE LLAMADAS</t>
  </si>
  <si>
    <t>Mensajes inicio</t>
  </si>
  <si>
    <t>unidad</t>
  </si>
  <si>
    <t>mensajes durante</t>
  </si>
  <si>
    <t>mensajes final</t>
  </si>
  <si>
    <t>% EVENTOS VOZ EN HORA PICO</t>
  </si>
  <si>
    <t>evento</t>
  </si>
  <si>
    <t>mensaje/min</t>
  </si>
  <si>
    <t>% MENSAJES SMS EN HORA PICO</t>
  </si>
  <si>
    <t>% MENSAJES MMS EN HORA PICO</t>
  </si>
  <si>
    <t>CONSULTA DE SALDOS POR HORA</t>
  </si>
  <si>
    <t>% RECARGAS EN HORA PICO</t>
  </si>
  <si>
    <t>SERVICIO</t>
  </si>
  <si>
    <t>MENSUAL CARGADO</t>
  </si>
  <si>
    <t>DIAS MES</t>
  </si>
  <si>
    <t>DIA NORMAL</t>
  </si>
  <si>
    <t>HORA CARGADA</t>
  </si>
  <si>
    <t>mensajes</t>
  </si>
  <si>
    <t>MINUTOS DE VOZ</t>
  </si>
  <si>
    <t>LLAMADAS DE VOZ</t>
  </si>
  <si>
    <t>CONSULTA SALDO</t>
  </si>
  <si>
    <t>RECARGAS</t>
  </si>
  <si>
    <t>% ASIGNACION</t>
  </si>
  <si>
    <t>% ASIGNACION AL CARGO</t>
  </si>
  <si>
    <t>FACTOR DE ASIGNACION AL CARGO</t>
  </si>
  <si>
    <t>% de trafico minutos en hora cargada</t>
  </si>
  <si>
    <t>Factor de Anualizacion y Depreciacion</t>
  </si>
  <si>
    <t>COMPONENTE PLATAFORMA</t>
  </si>
  <si>
    <t>COMPONENTE</t>
  </si>
  <si>
    <t>COMPONENTE TARJETAS</t>
  </si>
  <si>
    <t>OVERHEAD</t>
  </si>
  <si>
    <t>COMPONENTE FIJO</t>
  </si>
  <si>
    <t>Tráfico (en minutos)</t>
  </si>
  <si>
    <t>ABONADOS INSTALADOS</t>
  </si>
  <si>
    <t>ABONADOS UTILIZADOS</t>
  </si>
  <si>
    <t>HCAS'S INSTALADOS</t>
  </si>
  <si>
    <t>FACTOR DE DEMANDA</t>
  </si>
  <si>
    <t>DEMANDA</t>
  </si>
  <si>
    <t>TRAFICO(HCA)</t>
  </si>
  <si>
    <t>DEMANDA DIMENSIONAR</t>
  </si>
  <si>
    <t>DIMENSIONAMIENTO DE CAPACIDAD</t>
  </si>
  <si>
    <t>SEGÚN REGISTROS DE BASE DE DATOS</t>
  </si>
  <si>
    <t>SEGÚN  TRAFICO (HCA)</t>
  </si>
  <si>
    <t>NUMERO DE PLATAFORMAS</t>
  </si>
  <si>
    <t>INVERSION Y OPEX</t>
  </si>
  <si>
    <t>INVERSION RED</t>
  </si>
  <si>
    <t>PRECIO UNITARIO</t>
  </si>
  <si>
    <t>CANTIDAD</t>
  </si>
  <si>
    <t>INVERSION SISTEMAS</t>
  </si>
  <si>
    <t>OPEX PLATAFORMA Y SISTEMAS</t>
  </si>
  <si>
    <t>REGISTROS (ABONADOS)</t>
  </si>
  <si>
    <t>REGISTROS DIMENSIONAR</t>
  </si>
  <si>
    <t>DIMENSIONAMIENTO DE PLATAFORMA DE PAGO BASADA EN RED INTELIGENTE</t>
  </si>
  <si>
    <t>HCA'S</t>
  </si>
  <si>
    <t>CALCULO DEL PORCENTAJE DE ASIGNACION DE SERVICIOS DE VOZ AL CARGO</t>
  </si>
  <si>
    <t>(SEGÚN USO DE PLATAFORMA)</t>
  </si>
  <si>
    <t>SERVICIOS DE VOZ Y MENSAJES</t>
  </si>
  <si>
    <t>CALCULO DE LA ANUALIZACION DE LA PLATAFORMA DE PAGO</t>
  </si>
  <si>
    <t>INVERSIONES</t>
  </si>
  <si>
    <t>INVERSION</t>
  </si>
  <si>
    <t>FACTOR DE ANUALIDAD</t>
  </si>
  <si>
    <t>CAPEX ATRIBUIBLE</t>
  </si>
  <si>
    <t>OPEX ATRIBUIBLE</t>
  </si>
  <si>
    <t>RED</t>
  </si>
  <si>
    <t>SISTEMAS</t>
  </si>
  <si>
    <t>OPEX DE RED Y SISTEMAS</t>
  </si>
  <si>
    <t>FUENTE: INFORMACION PROPORCIONADA POR EL OPERADOR</t>
  </si>
  <si>
    <t>PREPAGO</t>
  </si>
  <si>
    <t>CONTROL</t>
  </si>
  <si>
    <t>FIJA</t>
  </si>
  <si>
    <t>EN FUNCION AL NUMERO DE MODULOS DE PLATAFORMAS</t>
  </si>
  <si>
    <t>Inversion en Módulos de Plataforma e Inversión en Soporte</t>
  </si>
  <si>
    <t>Inversion en Sistemas</t>
  </si>
  <si>
    <t>OPEX Red (Modulos de Plataforma e Inversión en Sistemas) y OPEX SOPORTE</t>
  </si>
</sst>
</file>

<file path=xl/styles.xml><?xml version="1.0" encoding="utf-8"?>
<styleSheet xmlns="http://schemas.openxmlformats.org/spreadsheetml/2006/main">
  <numFmts count="90"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_-* #,##0.00000_-;\-* #,##0.00000_-;_-* &quot;-&quot;?????_-;_-@_-"/>
    <numFmt numFmtId="167" formatCode="_-* #,##0_-;\-* #,##0_-;_-* &quot;-&quot;??_-;_-@_-"/>
    <numFmt numFmtId="168" formatCode="0.0000"/>
    <numFmt numFmtId="169" formatCode="_-* #,##0.0000_-;\-* #,##0.0000_-;_-* &quot;-&quot;??_-;_-@_-"/>
    <numFmt numFmtId="170" formatCode="_(* #,##0_);_(* \(#,##0\);_(* &quot;-&quot;??_);_(@_)"/>
    <numFmt numFmtId="171" formatCode="0.0%"/>
    <numFmt numFmtId="172" formatCode="#,##0.0000"/>
    <numFmt numFmtId="173" formatCode="_(* #,##0.00_);_(* \(#,##0.00\);_(* &quot;-&quot;??_);_(@_)"/>
    <numFmt numFmtId="174" formatCode="0000"/>
    <numFmt numFmtId="175" formatCode="000000"/>
    <numFmt numFmtId="176" formatCode="#,##0.0_);\(#,##0.0\)"/>
    <numFmt numFmtId="177" formatCode="_(* #,##0.0000_);_(* \(#,##0.0000\);_(* &quot;-&quot;??_);_(@_)"/>
    <numFmt numFmtId="178" formatCode="_(&quot;$&quot;* #,##0.00_);_(&quot;$&quot;* \(#,##0.00\);_(&quot;$&quot;* &quot;-&quot;??_);_(@_)"/>
    <numFmt numFmtId="179" formatCode="0.0%;\(0.0%\)"/>
    <numFmt numFmtId="180" formatCode="#,##0.00_);[Red]\-#,##0.00_);0.00_);@_)"/>
    <numFmt numFmtId="181" formatCode="#,##0;;"/>
    <numFmt numFmtId="182" formatCode="* _(#,##0.00_);[Red]* \(#,##0.00\);* _(&quot;-&quot;?_);@_)"/>
    <numFmt numFmtId="183" formatCode="_(&quot;$&quot;* #,##0_);_(&quot;$&quot;* \(#,##0\);_(&quot;$&quot;* &quot;-&quot;_);_(@_)"/>
    <numFmt numFmtId="184" formatCode="\$\ * _(#,##0_);[Red]\$\ * \(#,##0\);\$\ * _(&quot;-&quot;?_);@_)"/>
    <numFmt numFmtId="185" formatCode="\$\ * _(#,##0.00_);[Red]\$\ * \(#,##0.00\);\$\ * _(&quot;-&quot;?_);@_)"/>
    <numFmt numFmtId="186" formatCode="[$EUR]\ * _(#,##0_);[Red][$EUR]\ * \(#,##0\);[$EUR]\ * _(&quot;-&quot;?_);@_)"/>
    <numFmt numFmtId="187" formatCode="[$EUR]\ * _(#,##0.00_);[Red][$EUR]\ * \(#,##0.00\);[$EUR]\ * _(&quot;-&quot;?_);@_)"/>
    <numFmt numFmtId="188" formatCode="\€\ * _(#,##0_);[Red]\€\ * \(#,##0\);\€\ * _(&quot;-&quot;?_);@_)"/>
    <numFmt numFmtId="189" formatCode="\€\ * _(#,##0.00_);[Red]\€\ * \(#,##0.00\);\€\ * _(&quot;-&quot;?_);@_)"/>
    <numFmt numFmtId="190" formatCode="[$GBP]\ * _(#,##0_);[Red][$GBP]\ * \(#,##0\);[$GBP]\ * _(&quot;-&quot;?_);@_)"/>
    <numFmt numFmtId="191" formatCode="[$GBP]\ * _(#,##0.00_);[Red][$GBP]\ * \(#,##0.00\);[$GBP]\ * _(&quot;-&quot;?_);@_)"/>
    <numFmt numFmtId="192" formatCode="\£\ * _(#,##0_);[Red]\£\ * \(#,##0\);\£\ * _(&quot;-&quot;?_);@_)"/>
    <numFmt numFmtId="193" formatCode="\£\ * _(#,##0.00_);[Red]\£\ * \(#,##0.00\);\£\ * _(&quot;-&quot;?_);@_)"/>
    <numFmt numFmtId="194" formatCode="[$USD]\ * _(#,##0_);[Red][$USD]\ * \(#,##0\);[$USD]\ * _(&quot;-&quot;?_);@_)"/>
    <numFmt numFmtId="195" formatCode="[$USD]\ * _(#,##0.00_);[Red][$USD]\ * \(#,##0.00\);[$USD]\ * _(&quot;-&quot;?_);@_)"/>
    <numFmt numFmtId="196" formatCode="&quot;$&quot;#,##0\ ;\(&quot;$&quot;#,##0\)"/>
    <numFmt numFmtId="197" formatCode="dd\ mmm\ yy"/>
    <numFmt numFmtId="198" formatCode="mmm\ yy_)"/>
    <numFmt numFmtId="199" formatCode="yyyy_)"/>
    <numFmt numFmtId="200" formatCode="_([$€-2]\ * #,##0.00_);_([$€-2]\ * \(#,##0.00\);_([$€-2]\ * &quot;-&quot;??_)"/>
    <numFmt numFmtId="201" formatCode="_(&quot;$&quot;* #,##0.0_);_(&quot;$&quot;* \(#,##0.0\);_(&quot;$&quot;* &quot;-&quot;??_);_(@_)"/>
    <numFmt numFmtId="202" formatCode="#,##0_);[Red]\-#,##0_);0_);@_)"/>
    <numFmt numFmtId="203" formatCode="_-* #,##0\ _F_B_-;\-* #,##0\ _F_B_-;_-* &quot;-&quot;\ _F_B_-;_-@_-"/>
    <numFmt numFmtId="204" formatCode="_-* #,##0.00\ _F_B_-;\-* #,##0.00\ _F_B_-;_-* &quot;-&quot;??\ _F_B_-;_-@_-"/>
    <numFmt numFmtId="205" formatCode="#,###"/>
    <numFmt numFmtId="206" formatCode="#,##0_ ;[Red]\-#,##0\ "/>
    <numFmt numFmtId="207" formatCode="#,##0.0;\-#,##0.0;&quot;-&quot;"/>
    <numFmt numFmtId="208" formatCode="&quot;S/.&quot;#,##0.00;[Red]&quot;S/.&quot;\-#,##0.00"/>
    <numFmt numFmtId="209" formatCode="_-* #,##0\ _F_-;\-* #,##0\ _F_-;_-* &quot;-&quot;\ _F_-;_-@_-"/>
    <numFmt numFmtId="210" formatCode="_-* #,##0.00\ _F_-;\-* #,##0.00\ _F_-;_-* &quot;-&quot;??\ _F_-;_-@_-"/>
    <numFmt numFmtId="211" formatCode="_(&quot;R$ &quot;* #,##0_);_(&quot;R$ &quot;* \(#,##0\);_(&quot;R$ &quot;* &quot;-&quot;_);_(@_)"/>
    <numFmt numFmtId="212" formatCode="_(&quot;R$ &quot;* #,##0.00_);_(&quot;R$ &quot;* \(#,##0.00\);_(&quot;R$ &quot;* &quot;-&quot;??_);_(@_)"/>
    <numFmt numFmtId="213" formatCode="_-* #,##0\ &quot;F&quot;_-;\-* #,##0\ &quot;F&quot;_-;_-* &quot;-&quot;\ &quot;F&quot;_-;_-@_-"/>
    <numFmt numFmtId="214" formatCode="_-* #,##0.00\ &quot;F&quot;_-;\-* #,##0.00\ &quot;F&quot;_-;_-* &quot;-&quot;??\ &quot;F&quot;_-;_-@_-"/>
    <numFmt numFmtId="215" formatCode="\$#,"/>
    <numFmt numFmtId="216" formatCode="0%;[Red]\-0%"/>
    <numFmt numFmtId="217" formatCode="0.0"/>
    <numFmt numFmtId="218" formatCode="#,##0.00%;[Red]\-#,##0.00%;0.00%;@_)"/>
    <numFmt numFmtId="219" formatCode="#,##0%;[Red]\-#,##0%;0%;@_)"/>
    <numFmt numFmtId="220" formatCode="&quot;$&quot;#,##0_);\(&quot;$&quot;#,##0\)"/>
    <numFmt numFmtId="221" formatCode="#.##000"/>
    <numFmt numFmtId="222" formatCode="#.##0,"/>
    <numFmt numFmtId="223" formatCode="mm/dd/yy"/>
    <numFmt numFmtId="224" formatCode="\(#,##0\);;"/>
    <numFmt numFmtId="225" formatCode="_-* #,##0\ _P_t_s_-;\-* #,##0\ _P_t_s_-;_-* &quot;-&quot;\ _P_t_s_-;_-@_-"/>
    <numFmt numFmtId="226" formatCode="0.00%;[Red]\-0.00%"/>
    <numFmt numFmtId="227" formatCode="\ #"/>
    <numFmt numFmtId="228" formatCode="_-* #,##0\ &quot;FB&quot;_-;\-* #,##0\ &quot;FB&quot;_-;_-* &quot;-&quot;\ &quot;FB&quot;_-;_-@_-"/>
    <numFmt numFmtId="229" formatCode="_-&quot;£&quot;* #,##0.00_-;\-&quot;£&quot;* #,##0.00_-;_-&quot;£&quot;* &quot;-&quot;??_-;_-@_-"/>
    <numFmt numFmtId="230" formatCode="_(* #,##0_);_(* \(#,##0\);_(* &quot;-&quot;_);_(@_)"/>
    <numFmt numFmtId="231" formatCode="#,##0.0"/>
    <numFmt numFmtId="232" formatCode="#,##0;[Red]&quot;-&quot;#,##0"/>
    <numFmt numFmtId="233" formatCode="&quot;$&quot;#,##0_);[Red]\(&quot;$&quot;#,##0\)"/>
    <numFmt numFmtId="234" formatCode="#,##0,;\-#,##0,"/>
    <numFmt numFmtId="235" formatCode="#,##0.0,,,_);\(#,##0.0,,,\)"/>
    <numFmt numFmtId="236" formatCode="_(* #,##0.0_);_(* \(#,##0.0\);_(* &quot;-&quot;?_);_(@_)"/>
    <numFmt numFmtId="237" formatCode="_(&quot;$&quot;* #,##0,_);_(&quot;$&quot;* \(#,##0,\)"/>
    <numFmt numFmtId="238" formatCode="0.0%\ "/>
    <numFmt numFmtId="239" formatCode="0.0_);\(0.0\)"/>
    <numFmt numFmtId="240" formatCode="#,##0.00\ "/>
    <numFmt numFmtId="241" formatCode="0_);\(0\)"/>
    <numFmt numFmtId="242" formatCode="#,##0.0\ "/>
    <numFmt numFmtId="243" formatCode="mmmm\ d\,\ yyyy"/>
    <numFmt numFmtId="244" formatCode="0%\ \ \ \ \ "/>
    <numFmt numFmtId="245" formatCode="0.00_);\(0.00\)"/>
    <numFmt numFmtId="246" formatCode="_(* #,##0.0_);_(* \(#,##0.0\);_(* &quot;-&quot;??_);_(@_)"/>
    <numFmt numFmtId="247" formatCode=";;;"/>
    <numFmt numFmtId="248" formatCode="#,##0.0,,_);\(#,##0.0,,\)"/>
    <numFmt numFmtId="249" formatCode="#,##0.0\ \P;[Red]\-#,##0.0\ \P"/>
    <numFmt numFmtId="250" formatCode="#,##0.0,_);\(#,##0.0,\)"/>
    <numFmt numFmtId="251" formatCode="_(* #,##0,_);_(* \(#,##0,\)"/>
  </numFmts>
  <fonts count="1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i/>
      <sz val="10"/>
      <color indexed="45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sz val="16"/>
      <color indexed="9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color indexed="8"/>
      <name val="TheSansCorrespondence"/>
      <family val="2"/>
    </font>
    <font>
      <sz val="10"/>
      <color indexed="8"/>
      <name val="TheSansCorrespondence"/>
    </font>
    <font>
      <sz val="10"/>
      <name val="TheSansCorrespondence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4"/>
      <color indexed="9"/>
      <name val="Arial"/>
      <family val="2"/>
    </font>
    <font>
      <b/>
      <sz val="9"/>
      <color indexed="18"/>
      <name val="Arial"/>
      <family val="2"/>
    </font>
    <font>
      <b/>
      <u/>
      <sz val="10"/>
      <name val="Arial"/>
      <family val="2"/>
    </font>
    <font>
      <i/>
      <sz val="9"/>
      <color indexed="16"/>
      <name val="Arial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b/>
      <i/>
      <sz val="9"/>
      <color indexed="33"/>
      <name val="Arial"/>
      <family val="2"/>
    </font>
    <font>
      <sz val="10"/>
      <name val="Geneva"/>
    </font>
    <font>
      <sz val="10"/>
      <name val="Helv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Helv"/>
      <charset val="204"/>
    </font>
    <font>
      <sz val="10"/>
      <name val="Arial CE"/>
      <charset val="238"/>
    </font>
    <font>
      <sz val="10"/>
      <name val="Geneva"/>
      <family val="2"/>
    </font>
    <font>
      <sz val="8"/>
      <name val="Antique Olive"/>
      <family val="2"/>
    </font>
    <font>
      <sz val="8"/>
      <name val="Geneva"/>
    </font>
    <font>
      <b/>
      <sz val="9"/>
      <name val="Arial"/>
      <family val="2"/>
    </font>
    <font>
      <b/>
      <sz val="10"/>
      <name val="Arial MT"/>
    </font>
    <font>
      <sz val="11"/>
      <color indexed="9"/>
      <name val="Calibri"/>
      <family val="2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b/>
      <sz val="12"/>
      <color indexed="12"/>
      <name val="Times New Roman"/>
      <family val="1"/>
      <charset val="177"/>
    </font>
    <font>
      <b/>
      <sz val="1"/>
      <color indexed="8"/>
      <name val="Courier"/>
      <family val="3"/>
    </font>
    <font>
      <sz val="9"/>
      <color indexed="8"/>
      <name val="Arial"/>
      <family val="2"/>
    </font>
    <font>
      <sz val="10"/>
      <name val="Times New Roman"/>
      <family val="1"/>
    </font>
    <font>
      <sz val="9"/>
      <color indexed="10"/>
      <name val="Geneva"/>
    </font>
    <font>
      <b/>
      <sz val="10"/>
      <name val="Helv"/>
    </font>
    <font>
      <i/>
      <sz val="9"/>
      <color indexed="55"/>
      <name val="Arial"/>
      <family val="2"/>
    </font>
    <font>
      <b/>
      <sz val="11"/>
      <color indexed="9"/>
      <name val="Calibri"/>
      <family val="2"/>
    </font>
    <font>
      <sz val="9"/>
      <name val="Helv"/>
    </font>
    <font>
      <b/>
      <sz val="10"/>
      <name val="Times New Roman"/>
      <family val="1"/>
    </font>
    <font>
      <sz val="12"/>
      <color indexed="24"/>
      <name val="Arial"/>
      <family val="2"/>
    </font>
    <font>
      <sz val="10"/>
      <name val="BERNHARD"/>
    </font>
    <font>
      <sz val="8"/>
      <color indexed="12"/>
      <name val="Tahoma"/>
      <family val="2"/>
    </font>
    <font>
      <sz val="10"/>
      <name val="MS Serif"/>
      <family val="1"/>
    </font>
    <font>
      <sz val="10"/>
      <name val="Courier"/>
      <family val="3"/>
    </font>
    <font>
      <sz val="8"/>
      <name val="Helv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sz val="8"/>
      <name val="Comic Sans MS"/>
      <family val="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8"/>
      <name val="MS Sans Serif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heSansCorrespondence"/>
      <family val="2"/>
    </font>
    <font>
      <u/>
      <sz val="10"/>
      <color indexed="12"/>
      <name val="Times New Roman"/>
      <family val="1"/>
    </font>
    <font>
      <b/>
      <i/>
      <sz val="10"/>
      <color indexed="62"/>
      <name val="Arial"/>
      <family val="2"/>
    </font>
    <font>
      <sz val="10"/>
      <color indexed="12"/>
      <name val="Times New Roman"/>
      <family val="1"/>
    </font>
    <font>
      <sz val="12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9"/>
      <name val="Helv"/>
    </font>
    <font>
      <sz val="10"/>
      <color indexed="18"/>
      <name val="Arial"/>
      <family val="2"/>
    </font>
    <font>
      <b/>
      <sz val="18"/>
      <name val="Times New Roman"/>
      <family val="1"/>
    </font>
    <font>
      <sz val="10"/>
      <color indexed="11"/>
      <name val="Helv"/>
    </font>
    <font>
      <sz val="10"/>
      <name val="MS Sans Serif"/>
      <family val="2"/>
    </font>
    <font>
      <b/>
      <sz val="11"/>
      <name val="Helv"/>
    </font>
    <font>
      <i/>
      <sz val="10"/>
      <color indexed="16"/>
      <name val="Times New Roman"/>
      <family val="1"/>
    </font>
    <font>
      <sz val="7"/>
      <name val="Small Fonts"/>
      <family val="2"/>
    </font>
    <font>
      <sz val="8"/>
      <color indexed="8"/>
      <name val="TheSansCorrespondence"/>
      <family val="2"/>
    </font>
    <font>
      <sz val="10"/>
      <color theme="1"/>
      <name val="Helvetica"/>
    </font>
    <font>
      <sz val="8"/>
      <color indexed="10"/>
      <name val="Times New Roman"/>
      <family val="1"/>
    </font>
    <font>
      <i/>
      <sz val="9"/>
      <color indexed="12"/>
      <name val="Helv"/>
    </font>
    <font>
      <sz val="11"/>
      <name val="‚l‚r –¾’©"/>
      <charset val="128"/>
    </font>
    <font>
      <i/>
      <sz val="9"/>
      <color indexed="10"/>
      <name val="Arial"/>
      <family val="2"/>
    </font>
    <font>
      <b/>
      <sz val="10"/>
      <name val="MS Sans Serif"/>
      <family val="2"/>
    </font>
    <font>
      <b/>
      <sz val="12"/>
      <color indexed="10"/>
      <name val="Times New Roman"/>
      <family val="1"/>
      <charset val="177"/>
    </font>
    <font>
      <sz val="10"/>
      <color indexed="14"/>
      <name val="MS Sans Serif"/>
      <family val="2"/>
    </font>
    <font>
      <sz val="10"/>
      <color indexed="10"/>
      <name val="MS Sans Serif"/>
      <family val="2"/>
    </font>
    <font>
      <sz val="7"/>
      <name val="Arial"/>
      <family val="2"/>
    </font>
    <font>
      <b/>
      <sz val="12"/>
      <color indexed="9"/>
      <name val="Arial"/>
      <family val="2"/>
    </font>
    <font>
      <b/>
      <sz val="14"/>
      <name val="Times New Roman"/>
      <family val="1"/>
    </font>
    <font>
      <sz val="7"/>
      <name val="Geneva"/>
    </font>
    <font>
      <b/>
      <i/>
      <sz val="10"/>
      <color indexed="8"/>
      <name val="Arial"/>
      <family val="2"/>
    </font>
    <font>
      <b/>
      <sz val="12"/>
      <name val="Times New Roman"/>
      <family val="1"/>
    </font>
    <font>
      <b/>
      <i/>
      <u/>
      <sz val="10"/>
      <name val="Arial"/>
      <family val="2"/>
    </font>
    <font>
      <b/>
      <sz val="8"/>
      <color indexed="8"/>
      <name val="Helv"/>
    </font>
    <font>
      <b/>
      <sz val="10"/>
      <color indexed="10"/>
      <name val="Helv"/>
    </font>
    <font>
      <b/>
      <sz val="8"/>
      <name val="Times New Roman"/>
      <family val="1"/>
    </font>
    <font>
      <b/>
      <sz val="10"/>
      <color indexed="18"/>
      <name val="Helv"/>
    </font>
    <font>
      <sz val="10"/>
      <name val="Comic Sans MS"/>
      <family val="4"/>
    </font>
    <font>
      <b/>
      <sz val="18"/>
      <color indexed="56"/>
      <name val="Cambria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16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4"/>
      <color indexed="56"/>
      <name val="Palatino"/>
      <family val="1"/>
    </font>
    <font>
      <b/>
      <sz val="8"/>
      <name val="Helv"/>
    </font>
    <font>
      <sz val="9"/>
      <color indexed="39"/>
      <name val="Arial"/>
      <family val="2"/>
    </font>
    <font>
      <sz val="9"/>
      <color indexed="12"/>
      <name val="Arial"/>
      <family val="2"/>
    </font>
    <font>
      <b/>
      <sz val="9"/>
      <name val="Helvetica"/>
      <family val="2"/>
    </font>
    <font>
      <i/>
      <sz val="9"/>
      <name val="Arial"/>
      <family val="2"/>
    </font>
    <font>
      <b/>
      <sz val="12"/>
      <color indexed="56"/>
      <name val="Arial"/>
      <family val="2"/>
    </font>
    <font>
      <b/>
      <sz val="14"/>
      <name val="Palatino"/>
      <family val="1"/>
    </font>
    <font>
      <b/>
      <u/>
      <sz val="11"/>
      <name val="Helvetica"/>
      <family val="2"/>
    </font>
    <font>
      <b/>
      <sz val="12"/>
      <name val="Helvetica"/>
      <family val="2"/>
    </font>
    <font>
      <sz val="10"/>
      <name val="Helvetica"/>
      <family val="2"/>
    </font>
    <font>
      <sz val="12"/>
      <color theme="0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Arial"/>
      <family val="2"/>
      <charset val="177"/>
    </font>
    <font>
      <i/>
      <sz val="6"/>
      <name val="Times New Roman"/>
      <family val="1"/>
    </font>
    <font>
      <sz val="12"/>
      <name val="Arial"/>
      <family val="2"/>
      <charset val="177"/>
    </font>
    <font>
      <sz val="10"/>
      <name val="Arial"/>
      <family val="2"/>
      <charset val="177"/>
    </font>
    <font>
      <b/>
      <sz val="8"/>
      <name val="Arial"/>
      <family val="2"/>
    </font>
    <font>
      <b/>
      <sz val="16"/>
      <color indexed="62"/>
      <name val="Arial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6"/>
      <color rgb="FF0070C0"/>
      <name val="Arial"/>
      <family val="2"/>
    </font>
    <font>
      <b/>
      <sz val="16"/>
      <name val="Arial"/>
      <family val="2"/>
    </font>
    <font>
      <sz val="9"/>
      <name val="Trebuchet MS"/>
      <family val="2"/>
    </font>
    <font>
      <b/>
      <sz val="10"/>
      <name val="Verdana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24"/>
      <name val="Arial"/>
      <family val="2"/>
    </font>
    <font>
      <b/>
      <sz val="10"/>
      <color theme="1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38"/>
      </patternFill>
    </fill>
    <fill>
      <patternFill patternType="solid">
        <fgColor indexed="55"/>
      </patternFill>
    </fill>
    <fill>
      <patternFill patternType="solid">
        <fgColor indexed="9"/>
        <bgColor indexed="8"/>
      </patternFill>
    </fill>
    <fill>
      <patternFill patternType="gray0625">
        <f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3"/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indexed="14"/>
        <bgColor indexed="64"/>
      </patternFill>
    </fill>
    <fill>
      <patternFill patternType="gray125">
        <fgColor indexed="22"/>
        <bgColor indexed="9"/>
      </patternFill>
    </fill>
    <fill>
      <patternFill patternType="gray125">
        <fgColor indexed="13"/>
        <bgColor indexed="9"/>
      </patternFill>
    </fill>
    <fill>
      <patternFill patternType="mediumGray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7"/>
        <bgColor indexed="26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645">
    <xf numFmtId="0" fontId="0" fillId="0" borderId="0"/>
    <xf numFmtId="0" fontId="24" fillId="2" borderId="1">
      <alignment horizontal="center" wrapText="1"/>
    </xf>
    <xf numFmtId="0" fontId="22" fillId="0" borderId="0" applyFill="0" applyBorder="0"/>
    <xf numFmtId="165" fontId="9" fillId="0" borderId="0" applyFont="0" applyFill="0" applyBorder="0" applyAlignment="0" applyProtection="0"/>
    <xf numFmtId="0" fontId="9" fillId="0" borderId="0"/>
    <xf numFmtId="0" fontId="21" fillId="0" borderId="0"/>
    <xf numFmtId="9" fontId="9" fillId="0" borderId="0" applyFont="0" applyFill="0" applyBorder="0" applyAlignment="0" applyProtection="0"/>
    <xf numFmtId="0" fontId="9" fillId="0" borderId="0"/>
    <xf numFmtId="0" fontId="36" fillId="0" borderId="37" applyNumberFormat="0" applyBorder="0" applyAlignment="0" applyProtection="0">
      <alignment horizontal="right"/>
    </xf>
    <xf numFmtId="9" fontId="9" fillId="0" borderId="0" applyFont="0" applyFill="0" applyBorder="0" applyAlignment="0" applyProtection="0"/>
    <xf numFmtId="0" fontId="9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</xf>
    <xf numFmtId="0" fontId="40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</xf>
    <xf numFmtId="0" fontId="42" fillId="0" borderId="37" applyBorder="0">
      <alignment horizontal="left"/>
    </xf>
    <xf numFmtId="0" fontId="43" fillId="0" borderId="0"/>
    <xf numFmtId="0" fontId="44" fillId="0" borderId="0"/>
    <xf numFmtId="0" fontId="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/>
    <xf numFmtId="0" fontId="44" fillId="0" borderId="0"/>
    <xf numFmtId="0" fontId="9" fillId="0" borderId="0"/>
    <xf numFmtId="0" fontId="9" fillId="0" borderId="0"/>
    <xf numFmtId="0" fontId="47" fillId="0" borderId="0"/>
    <xf numFmtId="0" fontId="9" fillId="0" borderId="0" applyFill="0" applyBorder="0"/>
    <xf numFmtId="0" fontId="43" fillId="0" borderId="0"/>
    <xf numFmtId="0" fontId="9" fillId="0" borderId="0"/>
    <xf numFmtId="0" fontId="9" fillId="0" borderId="0"/>
    <xf numFmtId="0" fontId="44" fillId="0" borderId="0"/>
    <xf numFmtId="0" fontId="43" fillId="0" borderId="0"/>
    <xf numFmtId="0" fontId="20" fillId="0" borderId="0"/>
    <xf numFmtId="0" fontId="48" fillId="0" borderId="0"/>
    <xf numFmtId="0" fontId="45" fillId="0" borderId="0" applyNumberForma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44" fillId="0" borderId="0"/>
    <xf numFmtId="0" fontId="9" fillId="0" borderId="0"/>
    <xf numFmtId="0" fontId="20" fillId="0" borderId="0"/>
    <xf numFmtId="0" fontId="9" fillId="0" borderId="0"/>
    <xf numFmtId="0" fontId="43" fillId="0" borderId="0"/>
    <xf numFmtId="0" fontId="9" fillId="0" borderId="0"/>
    <xf numFmtId="0" fontId="43" fillId="0" borderId="0"/>
    <xf numFmtId="0" fontId="44" fillId="0" borderId="0"/>
    <xf numFmtId="0" fontId="44" fillId="0" borderId="0"/>
    <xf numFmtId="0" fontId="44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49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9" fillId="0" borderId="0"/>
    <xf numFmtId="0" fontId="43" fillId="0" borderId="0"/>
    <xf numFmtId="0" fontId="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3" fillId="0" borderId="0"/>
    <xf numFmtId="0" fontId="43" fillId="0" borderId="0"/>
    <xf numFmtId="0" fontId="9" fillId="0" borderId="0" applyFill="0" applyBorder="0"/>
    <xf numFmtId="0" fontId="43" fillId="0" borderId="0"/>
    <xf numFmtId="0" fontId="46" fillId="0" borderId="0"/>
    <xf numFmtId="0" fontId="43" fillId="0" borderId="0"/>
    <xf numFmtId="0" fontId="44" fillId="0" borderId="0"/>
    <xf numFmtId="0" fontId="9" fillId="0" borderId="0"/>
    <xf numFmtId="0" fontId="9" fillId="0" borderId="0" applyFill="0" applyBorder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" fillId="0" borderId="0"/>
    <xf numFmtId="0" fontId="20" fillId="0" borderId="0"/>
    <xf numFmtId="0" fontId="9" fillId="0" borderId="0"/>
    <xf numFmtId="0" fontId="43" fillId="0" borderId="0"/>
    <xf numFmtId="0" fontId="47" fillId="0" borderId="0"/>
    <xf numFmtId="0" fontId="9" fillId="0" borderId="0"/>
    <xf numFmtId="0" fontId="9" fillId="0" borderId="0" applyFill="0" applyBorder="0"/>
    <xf numFmtId="0" fontId="43" fillId="0" borderId="0"/>
    <xf numFmtId="9" fontId="9" fillId="7" borderId="0"/>
    <xf numFmtId="0" fontId="9" fillId="0" borderId="0"/>
    <xf numFmtId="0" fontId="9" fillId="0" borderId="0"/>
    <xf numFmtId="0" fontId="9" fillId="0" borderId="0"/>
    <xf numFmtId="0" fontId="46" fillId="0" borderId="0"/>
    <xf numFmtId="174" fontId="50" fillId="0" borderId="0">
      <alignment horizontal="left"/>
    </xf>
    <xf numFmtId="175" fontId="51" fillId="0" borderId="0">
      <alignment horizontal="left"/>
    </xf>
    <xf numFmtId="0" fontId="52" fillId="0" borderId="0">
      <alignment horizontal="left" vertical="center"/>
      <protection locked="0"/>
    </xf>
    <xf numFmtId="2" fontId="53" fillId="0" borderId="0">
      <alignment horizontal="left"/>
    </xf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8" fillId="6" borderId="0" applyNumberFormat="0" applyBorder="0" applyAlignment="0" applyProtection="0"/>
    <xf numFmtId="0" fontId="20" fillId="0" borderId="0"/>
    <xf numFmtId="0" fontId="54" fillId="20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7" borderId="0" applyNumberFormat="0" applyBorder="0" applyAlignment="0" applyProtection="0"/>
    <xf numFmtId="0" fontId="9" fillId="28" borderId="38">
      <alignment horizontal="center" vertical="center"/>
    </xf>
    <xf numFmtId="0" fontId="55" fillId="0" borderId="0">
      <alignment horizontal="center" wrapText="1"/>
      <protection locked="0"/>
    </xf>
    <xf numFmtId="0" fontId="56" fillId="0" borderId="39" applyNumberFormat="0" applyFill="0" applyAlignment="0" applyProtection="0"/>
    <xf numFmtId="0" fontId="9" fillId="29" borderId="0"/>
    <xf numFmtId="0" fontId="57" fillId="11" borderId="0" applyNumberFormat="0" applyBorder="0" applyAlignment="0" applyProtection="0"/>
    <xf numFmtId="0" fontId="51" fillId="0" borderId="0" applyFont="0" applyFill="0" applyBorder="0" applyAlignment="0" applyProtection="0">
      <alignment horizontal="right"/>
    </xf>
    <xf numFmtId="2" fontId="58" fillId="0" borderId="0"/>
    <xf numFmtId="0" fontId="17" fillId="0" borderId="0" applyFill="0" applyBorder="0">
      <alignment horizontal="left" wrapText="1"/>
    </xf>
    <xf numFmtId="1" fontId="59" fillId="0" borderId="0">
      <protection locked="0"/>
    </xf>
    <xf numFmtId="1" fontId="59" fillId="0" borderId="0">
      <protection locked="0"/>
    </xf>
    <xf numFmtId="9" fontId="60" fillId="0" borderId="37" applyNumberFormat="0" applyBorder="0">
      <alignment horizontal="right"/>
    </xf>
    <xf numFmtId="0" fontId="9" fillId="0" borderId="0" applyFill="0" applyBorder="0" applyAlignment="0"/>
    <xf numFmtId="176" fontId="20" fillId="0" borderId="0" applyFill="0" applyBorder="0" applyAlignment="0"/>
    <xf numFmtId="177" fontId="20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178" fontId="20" fillId="0" borderId="0" applyFill="0" applyBorder="0" applyAlignment="0"/>
    <xf numFmtId="179" fontId="20" fillId="0" borderId="0" applyFill="0" applyBorder="0" applyAlignment="0"/>
    <xf numFmtId="176" fontId="20" fillId="0" borderId="0" applyFill="0" applyBorder="0" applyAlignment="0"/>
    <xf numFmtId="0" fontId="61" fillId="0" borderId="0" applyNumberFormat="0" applyFill="0" applyBorder="0" applyAlignment="0" applyProtection="0"/>
    <xf numFmtId="0" fontId="62" fillId="0" borderId="0"/>
    <xf numFmtId="0" fontId="63" fillId="0" borderId="0"/>
    <xf numFmtId="0" fontId="64" fillId="0" borderId="0" applyNumberFormat="0" applyAlignment="0">
      <alignment vertical="center"/>
    </xf>
    <xf numFmtId="0" fontId="65" fillId="30" borderId="40" applyNumberFormat="0" applyAlignment="0" applyProtection="0"/>
    <xf numFmtId="180" fontId="64" fillId="0" borderId="0" applyNumberFormat="0" applyAlignment="0">
      <alignment vertical="center"/>
    </xf>
    <xf numFmtId="0" fontId="66" fillId="31" borderId="41" applyNumberFormat="0">
      <alignment horizontal="left" vertical="center"/>
      <protection locked="0" hidden="1"/>
    </xf>
    <xf numFmtId="0" fontId="18" fillId="2" borderId="1">
      <alignment wrapText="1"/>
    </xf>
    <xf numFmtId="0" fontId="12" fillId="2" borderId="1" applyProtection="0">
      <alignment horizontal="center" vertical="center" wrapText="1"/>
    </xf>
    <xf numFmtId="0" fontId="67" fillId="32" borderId="0" applyNumberFormat="0" applyBorder="0" applyProtection="0">
      <alignment horizontal="centerContinuous" vertical="center"/>
    </xf>
    <xf numFmtId="0" fontId="67" fillId="32" borderId="42" applyNumberFormat="0" applyProtection="0">
      <alignment horizontal="center" vertical="center" wrapText="1"/>
    </xf>
    <xf numFmtId="0" fontId="52" fillId="33" borderId="0" applyNumberFormat="0">
      <alignment horizontal="center" vertical="top" wrapText="1"/>
    </xf>
    <xf numFmtId="0" fontId="52" fillId="33" borderId="0" applyNumberFormat="0">
      <alignment horizontal="left" vertical="top" wrapText="1"/>
    </xf>
    <xf numFmtId="0" fontId="52" fillId="33" borderId="0" applyNumberFormat="0">
      <alignment horizontal="centerContinuous" vertical="top"/>
    </xf>
    <xf numFmtId="0" fontId="31" fillId="33" borderId="0" applyNumberFormat="0">
      <alignment horizontal="center" vertical="top" wrapText="1"/>
    </xf>
    <xf numFmtId="0" fontId="52" fillId="34" borderId="0" applyNumberFormat="0">
      <alignment horizontal="center" vertical="top" wrapText="1"/>
    </xf>
    <xf numFmtId="0" fontId="61" fillId="0" borderId="43" applyNumberFormat="0" applyFont="0" applyFill="0" applyAlignment="0" applyProtection="0">
      <alignment horizontal="left"/>
    </xf>
    <xf numFmtId="0" fontId="52" fillId="2" borderId="15">
      <alignment horizontal="center" vertical="top" wrapText="1"/>
    </xf>
    <xf numFmtId="41" fontId="9" fillId="0" borderId="0" applyFont="0" applyFill="0" applyBorder="0" applyAlignment="0" applyProtection="0"/>
    <xf numFmtId="178" fontId="20" fillId="0" borderId="0" applyFont="0" applyFill="0" applyBorder="0" applyAlignment="0" applyProtection="0"/>
    <xf numFmtId="3" fontId="68" fillId="0" borderId="0" applyFont="0" applyFill="0" applyBorder="0" applyAlignment="0" applyProtection="0"/>
    <xf numFmtId="0" fontId="69" fillId="0" borderId="0"/>
    <xf numFmtId="0" fontId="20" fillId="0" borderId="0"/>
    <xf numFmtId="0" fontId="69" fillId="0" borderId="0"/>
    <xf numFmtId="0" fontId="20" fillId="0" borderId="0"/>
    <xf numFmtId="0" fontId="70" fillId="0" borderId="0">
      <alignment horizontal="left" vertical="center"/>
    </xf>
    <xf numFmtId="0" fontId="71" fillId="0" borderId="0" applyNumberFormat="0" applyAlignment="0">
      <alignment horizontal="left"/>
    </xf>
    <xf numFmtId="0" fontId="35" fillId="3" borderId="0">
      <alignment horizontal="left" vertical="top"/>
    </xf>
    <xf numFmtId="0" fontId="72" fillId="0" borderId="0" applyNumberFormat="0" applyAlignment="0"/>
    <xf numFmtId="181" fontId="17" fillId="0" borderId="0" applyFill="0" applyBorder="0"/>
    <xf numFmtId="182" fontId="31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/>
    <xf numFmtId="176" fontId="20" fillId="0" borderId="0" applyFont="0" applyFill="0" applyBorder="0" applyAlignment="0" applyProtection="0"/>
    <xf numFmtId="184" fontId="31" fillId="0" borderId="0" applyFont="0" applyFill="0" applyBorder="0" applyAlignment="0" applyProtection="0">
      <alignment vertical="center"/>
    </xf>
    <xf numFmtId="185" fontId="31" fillId="0" borderId="0" applyFont="0" applyFill="0" applyBorder="0" applyAlignment="0" applyProtection="0">
      <alignment vertical="center"/>
    </xf>
    <xf numFmtId="186" fontId="31" fillId="0" borderId="0" applyFont="0" applyFill="0" applyBorder="0" applyAlignment="0" applyProtection="0">
      <alignment vertical="center"/>
    </xf>
    <xf numFmtId="187" fontId="31" fillId="0" borderId="0" applyFont="0" applyFill="0" applyBorder="0" applyAlignment="0" applyProtection="0">
      <alignment vertical="center"/>
    </xf>
    <xf numFmtId="188" fontId="31" fillId="0" borderId="0" applyFont="0" applyFill="0" applyBorder="0" applyAlignment="0" applyProtection="0">
      <alignment vertical="center"/>
    </xf>
    <xf numFmtId="189" fontId="31" fillId="0" borderId="0" applyFont="0" applyFill="0" applyBorder="0" applyAlignment="0" applyProtection="0">
      <alignment vertical="center"/>
    </xf>
    <xf numFmtId="190" fontId="31" fillId="0" borderId="0" applyFont="0" applyFill="0" applyBorder="0" applyAlignment="0" applyProtection="0">
      <alignment vertical="center"/>
    </xf>
    <xf numFmtId="191" fontId="31" fillId="0" borderId="0" applyFont="0" applyFill="0" applyBorder="0" applyAlignment="0" applyProtection="0">
      <alignment vertical="center"/>
    </xf>
    <xf numFmtId="192" fontId="31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>
      <alignment vertical="center"/>
    </xf>
    <xf numFmtId="194" fontId="31" fillId="0" borderId="0" applyFont="0" applyFill="0" applyBorder="0" applyAlignment="0" applyProtection="0">
      <alignment vertical="center"/>
    </xf>
    <xf numFmtId="195" fontId="31" fillId="0" borderId="0" applyFont="0" applyFill="0" applyBorder="0" applyAlignment="0" applyProtection="0">
      <alignment vertical="center"/>
    </xf>
    <xf numFmtId="196" fontId="68" fillId="0" borderId="0" applyFont="0" applyFill="0" applyBorder="0" applyAlignment="0" applyProtection="0"/>
    <xf numFmtId="197" fontId="61" fillId="0" borderId="0" applyFont="0" applyFill="0" applyBorder="0" applyAlignment="0" applyProtection="0"/>
    <xf numFmtId="198" fontId="31" fillId="0" borderId="0" applyFont="0" applyFill="0" applyBorder="0" applyAlignment="0" applyProtection="0">
      <alignment vertical="center"/>
    </xf>
    <xf numFmtId="199" fontId="31" fillId="0" borderId="0" applyFont="0" applyFill="0" applyBorder="0" applyAlignment="0" applyProtection="0">
      <alignment vertical="center"/>
    </xf>
    <xf numFmtId="14" fontId="11" fillId="0" borderId="0" applyFill="0" applyBorder="0" applyAlignment="0"/>
    <xf numFmtId="0" fontId="73" fillId="31" borderId="44" applyNumberFormat="0">
      <alignment horizontal="left" vertical="center"/>
      <protection locked="0" hidden="1"/>
    </xf>
    <xf numFmtId="0" fontId="74" fillId="0" borderId="0">
      <protection locked="0"/>
    </xf>
    <xf numFmtId="0" fontId="22" fillId="0" borderId="0"/>
    <xf numFmtId="0" fontId="22" fillId="0" borderId="0"/>
    <xf numFmtId="0" fontId="59" fillId="0" borderId="0">
      <protection locked="0"/>
    </xf>
    <xf numFmtId="0" fontId="59" fillId="0" borderId="0">
      <protection locked="0"/>
    </xf>
    <xf numFmtId="0" fontId="34" fillId="5" borderId="0" applyNumberFormat="0" applyBorder="0" applyAlignment="0" applyProtection="0"/>
    <xf numFmtId="178" fontId="20" fillId="0" borderId="0" applyFill="0" applyBorder="0" applyAlignment="0"/>
    <xf numFmtId="176" fontId="20" fillId="0" borderId="0" applyFill="0" applyBorder="0" applyAlignment="0"/>
    <xf numFmtId="178" fontId="20" fillId="0" borderId="0" applyFill="0" applyBorder="0" applyAlignment="0"/>
    <xf numFmtId="179" fontId="20" fillId="0" borderId="0" applyFill="0" applyBorder="0" applyAlignment="0"/>
    <xf numFmtId="176" fontId="20" fillId="0" borderId="0" applyFill="0" applyBorder="0" applyAlignment="0"/>
    <xf numFmtId="0" fontId="75" fillId="0" borderId="0" applyNumberFormat="0" applyAlignment="0">
      <alignment horizontal="left"/>
    </xf>
    <xf numFmtId="3" fontId="76" fillId="0" borderId="0" applyNumberFormat="0" applyFill="0" applyBorder="0" applyProtection="0">
      <protection locked="0"/>
    </xf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47" fillId="0" borderId="0"/>
    <xf numFmtId="200" fontId="77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9" fillId="0" borderId="0" applyFill="0" applyBorder="0">
      <alignment wrapText="1"/>
    </xf>
    <xf numFmtId="0" fontId="17" fillId="0" borderId="0" applyFill="0" applyBorder="0"/>
    <xf numFmtId="181" fontId="9" fillId="0" borderId="31" applyFill="0" applyBorder="0">
      <protection locked="0"/>
    </xf>
    <xf numFmtId="1" fontId="74" fillId="0" borderId="0">
      <protection locked="0"/>
    </xf>
    <xf numFmtId="0" fontId="20" fillId="0" borderId="0"/>
    <xf numFmtId="0" fontId="74" fillId="0" borderId="0">
      <protection locked="0"/>
    </xf>
    <xf numFmtId="3" fontId="11" fillId="4" borderId="15"/>
    <xf numFmtId="0" fontId="74" fillId="0" borderId="0">
      <protection locked="0"/>
    </xf>
    <xf numFmtId="2" fontId="68" fillId="0" borderId="0" applyFont="0" applyFill="0" applyBorder="0" applyAlignment="0" applyProtection="0"/>
    <xf numFmtId="0" fontId="79" fillId="12" borderId="0" applyNumberFormat="0" applyBorder="0" applyAlignment="0" applyProtection="0"/>
    <xf numFmtId="38" fontId="17" fillId="2" borderId="0" applyNumberFormat="0" applyBorder="0" applyAlignment="0" applyProtection="0"/>
    <xf numFmtId="0" fontId="80" fillId="0" borderId="0" applyNumberFormat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horizontal="left" vertical="center"/>
    </xf>
    <xf numFmtId="0" fontId="52" fillId="0" borderId="0" applyNumberFormat="0" applyFill="0" applyBorder="0" applyAlignment="0" applyProtection="0">
      <alignment vertical="center"/>
    </xf>
    <xf numFmtId="201" fontId="84" fillId="0" borderId="0" applyNumberFormat="0" applyFill="0" applyBorder="0" applyProtection="0">
      <alignment horizontal="right"/>
    </xf>
    <xf numFmtId="0" fontId="83" fillId="0" borderId="45" applyNumberFormat="0" applyAlignment="0" applyProtection="0">
      <alignment horizontal="left" vertical="center"/>
    </xf>
    <xf numFmtId="0" fontId="83" fillId="0" borderId="29">
      <alignment horizontal="left" vertical="center"/>
    </xf>
    <xf numFmtId="0" fontId="85" fillId="0" borderId="0" applyNumberFormat="0">
      <alignment horizontal="left"/>
    </xf>
    <xf numFmtId="0" fontId="86" fillId="0" borderId="46" applyNumberFormat="0" applyFill="0" applyAlignment="0" applyProtection="0"/>
    <xf numFmtId="0" fontId="87" fillId="0" borderId="47" applyNumberFormat="0" applyFill="0" applyAlignment="0" applyProtection="0"/>
    <xf numFmtId="0" fontId="88" fillId="0" borderId="48" applyNumberFormat="0" applyFill="0" applyAlignment="0" applyProtection="0"/>
    <xf numFmtId="0" fontId="88" fillId="0" borderId="0" applyNumberFormat="0" applyFill="0" applyBorder="0" applyAlignment="0" applyProtection="0"/>
    <xf numFmtId="0" fontId="81" fillId="0" borderId="0" applyProtection="0"/>
    <xf numFmtId="0" fontId="83" fillId="0" borderId="0" applyProtection="0"/>
    <xf numFmtId="0" fontId="56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49" fontId="17" fillId="0" borderId="0" applyFill="0" applyBorder="0"/>
    <xf numFmtId="0" fontId="91" fillId="0" borderId="0" applyFill="0" applyBorder="0" applyAlignment="0" applyProtection="0">
      <alignment horizontal="right"/>
    </xf>
    <xf numFmtId="0" fontId="92" fillId="0" borderId="39" applyNumberFormat="0" applyFill="0" applyAlignment="0" applyProtection="0"/>
    <xf numFmtId="10" fontId="17" fillId="35" borderId="1" applyNumberFormat="0" applyBorder="0" applyAlignment="0" applyProtection="0"/>
    <xf numFmtId="0" fontId="31" fillId="0" borderId="49" applyNumberFormat="0" applyAlignment="0">
      <alignment vertical="center"/>
    </xf>
    <xf numFmtId="176" fontId="93" fillId="36" borderId="0"/>
    <xf numFmtId="0" fontId="31" fillId="0" borderId="50" applyNumberFormat="0" applyAlignment="0">
      <alignment vertical="center"/>
      <protection locked="0"/>
    </xf>
    <xf numFmtId="202" fontId="31" fillId="37" borderId="50" applyNumberFormat="0" applyAlignment="0">
      <alignment vertical="center"/>
      <protection locked="0"/>
    </xf>
    <xf numFmtId="0" fontId="92" fillId="0" borderId="0" applyNumberFormat="0" applyFill="0" applyBorder="0" applyAlignment="0" applyProtection="0"/>
    <xf numFmtId="0" fontId="31" fillId="38" borderId="0" applyNumberFormat="0" applyAlignment="0">
      <alignment vertical="center"/>
    </xf>
    <xf numFmtId="0" fontId="31" fillId="7" borderId="0" applyNumberFormat="0" applyAlignment="0">
      <alignment vertical="center"/>
    </xf>
    <xf numFmtId="0" fontId="31" fillId="0" borderId="51" applyNumberFormat="0" applyAlignment="0">
      <alignment vertical="center"/>
      <protection locked="0"/>
    </xf>
    <xf numFmtId="0" fontId="13" fillId="0" borderId="0" applyNumberFormat="0" applyFill="0" applyBorder="0" applyAlignment="0">
      <protection locked="0"/>
    </xf>
    <xf numFmtId="0" fontId="43" fillId="0" borderId="0"/>
    <xf numFmtId="203" fontId="9" fillId="0" borderId="0" applyFont="0" applyFill="0" applyBorder="0" applyAlignment="0" applyProtection="0"/>
    <xf numFmtId="204" fontId="9" fillId="0" borderId="0" applyFont="0" applyFill="0" applyBorder="0" applyAlignment="0" applyProtection="0"/>
    <xf numFmtId="178" fontId="20" fillId="0" borderId="0" applyFill="0" applyBorder="0" applyAlignment="0"/>
    <xf numFmtId="176" fontId="20" fillId="0" borderId="0" applyFill="0" applyBorder="0" applyAlignment="0"/>
    <xf numFmtId="178" fontId="20" fillId="0" borderId="0" applyFill="0" applyBorder="0" applyAlignment="0"/>
    <xf numFmtId="179" fontId="20" fillId="0" borderId="0" applyFill="0" applyBorder="0" applyAlignment="0"/>
    <xf numFmtId="176" fontId="20" fillId="0" borderId="0" applyFill="0" applyBorder="0" applyAlignment="0"/>
    <xf numFmtId="0" fontId="31" fillId="39" borderId="0" applyNumberFormat="0" applyFont="0" applyBorder="0" applyAlignment="0" applyProtection="0">
      <alignment horizontal="left"/>
    </xf>
    <xf numFmtId="0" fontId="95" fillId="0" borderId="53" applyNumberFormat="0" applyFill="0" applyAlignment="0" applyProtection="0"/>
    <xf numFmtId="176" fontId="96" fillId="40" borderId="0"/>
    <xf numFmtId="10" fontId="97" fillId="8" borderId="15"/>
    <xf numFmtId="0" fontId="98" fillId="0" borderId="0" applyNumberFormat="0" applyFill="0" applyBorder="0" applyProtection="0">
      <alignment horizontal="left" vertical="center"/>
    </xf>
    <xf numFmtId="205" fontId="99" fillId="0" borderId="31" applyNumberFormat="0" applyFill="0" applyBorder="0" applyAlignment="0" applyProtection="0">
      <alignment horizontal="center"/>
    </xf>
    <xf numFmtId="40" fontId="100" fillId="0" borderId="0" applyFont="0" applyFill="0" applyBorder="0" applyAlignment="0" applyProtection="0"/>
    <xf numFmtId="206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207" fontId="9" fillId="0" borderId="0" applyFont="0" applyFill="0" applyBorder="0" applyAlignment="0" applyProtection="0"/>
    <xf numFmtId="207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22" fillId="0" borderId="0" applyFont="0" applyFill="0" applyBorder="0" applyAlignment="0" applyProtection="0"/>
    <xf numFmtId="206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208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0" fontId="36" fillId="41" borderId="0">
      <alignment horizontal="right"/>
    </xf>
    <xf numFmtId="0" fontId="101" fillId="0" borderId="42"/>
    <xf numFmtId="211" fontId="9" fillId="0" borderId="0" applyFont="0" applyFill="0" applyBorder="0" applyAlignment="0" applyProtection="0"/>
    <xf numFmtId="212" fontId="9" fillId="0" borderId="0" applyFont="0" applyFill="0" applyBorder="0" applyAlignment="0" applyProtection="0"/>
    <xf numFmtId="213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0" fontId="74" fillId="0" borderId="0">
      <protection locked="0"/>
    </xf>
    <xf numFmtId="215" fontId="74" fillId="0" borderId="0">
      <protection locked="0"/>
    </xf>
    <xf numFmtId="17" fontId="11" fillId="8" borderId="1"/>
    <xf numFmtId="0" fontId="102" fillId="0" borderId="0" applyNumberFormat="0" applyFill="0" applyBorder="0" applyProtection="0">
      <alignment horizontal="left"/>
    </xf>
    <xf numFmtId="0" fontId="9" fillId="0" borderId="0" applyNumberFormat="0" applyFill="0" applyBorder="0" applyAlignment="0" applyProtection="0"/>
    <xf numFmtId="37" fontId="103" fillId="0" borderId="0"/>
    <xf numFmtId="0" fontId="72" fillId="0" borderId="0"/>
    <xf numFmtId="0" fontId="4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04" fillId="0" borderId="0"/>
    <xf numFmtId="0" fontId="30" fillId="0" borderId="0"/>
    <xf numFmtId="0" fontId="22" fillId="0" borderId="0"/>
    <xf numFmtId="0" fontId="105" fillId="0" borderId="0"/>
    <xf numFmtId="0" fontId="8" fillId="0" borderId="0"/>
    <xf numFmtId="0" fontId="8" fillId="0" borderId="0"/>
    <xf numFmtId="0" fontId="20" fillId="0" borderId="0"/>
    <xf numFmtId="0" fontId="31" fillId="42" borderId="0" applyBorder="0" applyAlignment="0">
      <alignment horizontal="left"/>
    </xf>
    <xf numFmtId="216" fontId="106" fillId="0" borderId="0" applyNumberFormat="0" applyFill="0" applyBorder="0" applyAlignment="0" applyProtection="0"/>
    <xf numFmtId="0" fontId="61" fillId="0" borderId="0"/>
    <xf numFmtId="0" fontId="61" fillId="0" borderId="0"/>
    <xf numFmtId="38" fontId="61" fillId="0" borderId="2" applyFont="0" applyFill="0" applyBorder="0" applyAlignment="0" applyProtection="0"/>
    <xf numFmtId="180" fontId="31" fillId="0" borderId="0" applyFont="0" applyFill="0" applyBorder="0" applyAlignment="0" applyProtection="0">
      <alignment vertical="center"/>
    </xf>
    <xf numFmtId="202" fontId="31" fillId="0" borderId="0" applyFont="0" applyFill="0" applyBorder="0" applyAlignment="0" applyProtection="0">
      <alignment vertical="center"/>
    </xf>
    <xf numFmtId="0" fontId="107" fillId="0" borderId="0" applyNumberFormat="0" applyAlignment="0">
      <alignment vertical="top"/>
    </xf>
    <xf numFmtId="40" fontId="108" fillId="0" borderId="0" applyFont="0" applyFill="0" applyBorder="0" applyAlignment="0" applyProtection="0"/>
    <xf numFmtId="38" fontId="108" fillId="0" borderId="0" applyFont="0" applyFill="0" applyBorder="0" applyAlignment="0" applyProtection="0"/>
    <xf numFmtId="217" fontId="43" fillId="0" borderId="1" applyFill="0" applyBorder="0" applyAlignment="0" applyProtection="0"/>
    <xf numFmtId="0" fontId="61" fillId="43" borderId="30" applyNumberFormat="0" applyFont="0" applyBorder="0" applyAlignment="0" applyProtection="0"/>
    <xf numFmtId="40" fontId="11" fillId="4" borderId="0">
      <alignment horizontal="right"/>
    </xf>
    <xf numFmtId="14" fontId="55" fillId="0" borderId="0">
      <alignment horizontal="center" wrapText="1"/>
      <protection locked="0"/>
    </xf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0" fontId="9" fillId="0" borderId="0" applyFont="0" applyFill="0" applyBorder="0" applyAlignment="0" applyProtection="0"/>
    <xf numFmtId="171" fontId="11" fillId="0" borderId="15" applyAlignment="0" applyProtection="0"/>
    <xf numFmtId="216" fontId="61" fillId="0" borderId="0" applyFont="0" applyFill="0" applyBorder="0" applyAlignment="0" applyProtection="0"/>
    <xf numFmtId="218" fontId="31" fillId="0" borderId="0" applyFont="0" applyFill="0" applyBorder="0" applyAlignment="0" applyProtection="0">
      <alignment vertical="center"/>
    </xf>
    <xf numFmtId="219" fontId="31" fillId="0" borderId="0" applyFont="0" applyFill="0" applyBorder="0" applyAlignment="0" applyProtection="0">
      <alignment horizontal="right" vertical="center"/>
    </xf>
    <xf numFmtId="9" fontId="109" fillId="0" borderId="0" applyNumberFormat="0" applyFill="0" applyBorder="0" applyProtection="0">
      <alignment horizontal="right"/>
    </xf>
    <xf numFmtId="0" fontId="74" fillId="0" borderId="0">
      <protection locked="0"/>
    </xf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20" fillId="0" borderId="0" applyFill="0" applyBorder="0" applyAlignment="0"/>
    <xf numFmtId="176" fontId="20" fillId="0" borderId="0" applyFill="0" applyBorder="0" applyAlignment="0"/>
    <xf numFmtId="178" fontId="20" fillId="0" borderId="0" applyFill="0" applyBorder="0" applyAlignment="0"/>
    <xf numFmtId="179" fontId="20" fillId="0" borderId="0" applyFill="0" applyBorder="0" applyAlignment="0"/>
    <xf numFmtId="176" fontId="20" fillId="0" borderId="0" applyFill="0" applyBorder="0" applyAlignment="0"/>
    <xf numFmtId="220" fontId="31" fillId="4" borderId="1">
      <alignment vertical="center"/>
    </xf>
    <xf numFmtId="175" fontId="37" fillId="0" borderId="0" applyNumberFormat="0" applyFill="0" applyBorder="0" applyProtection="0">
      <alignment horizontal="left" indent="2"/>
    </xf>
    <xf numFmtId="0" fontId="100" fillId="0" borderId="0" applyNumberFormat="0" applyFont="0" applyFill="0" applyBorder="0" applyAlignment="0" applyProtection="0">
      <alignment horizontal="left"/>
    </xf>
    <xf numFmtId="15" fontId="100" fillId="0" borderId="0" applyFont="0" applyFill="0" applyBorder="0" applyAlignment="0" applyProtection="0"/>
    <xf numFmtId="4" fontId="100" fillId="0" borderId="0" applyFont="0" applyFill="0" applyBorder="0" applyAlignment="0" applyProtection="0"/>
    <xf numFmtId="0" fontId="110" fillId="0" borderId="42">
      <alignment horizontal="center"/>
    </xf>
    <xf numFmtId="3" fontId="100" fillId="0" borderId="0" applyFont="0" applyFill="0" applyBorder="0" applyAlignment="0" applyProtection="0"/>
    <xf numFmtId="0" fontId="100" fillId="44" borderId="0" applyNumberFormat="0" applyFont="0" applyBorder="0" applyAlignment="0" applyProtection="0"/>
    <xf numFmtId="221" fontId="74" fillId="0" borderId="0">
      <protection locked="0"/>
    </xf>
    <xf numFmtId="222" fontId="74" fillId="0" borderId="0">
      <protection locked="0"/>
    </xf>
    <xf numFmtId="0" fontId="20" fillId="0" borderId="0"/>
    <xf numFmtId="0" fontId="111" fillId="0" borderId="0">
      <alignment horizontal="left"/>
      <protection locked="0"/>
    </xf>
    <xf numFmtId="0" fontId="112" fillId="0" borderId="0"/>
    <xf numFmtId="0" fontId="113" fillId="0" borderId="0"/>
    <xf numFmtId="223" fontId="73" fillId="0" borderId="0" applyNumberFormat="0" applyFill="0" applyBorder="0" applyAlignment="0" applyProtection="0">
      <alignment horizontal="left"/>
    </xf>
    <xf numFmtId="38" fontId="73" fillId="0" borderId="0"/>
    <xf numFmtId="0" fontId="114" fillId="0" borderId="0" applyFill="0" applyBorder="0">
      <alignment horizontal="left"/>
    </xf>
    <xf numFmtId="224" fontId="114" fillId="0" borderId="31" applyFill="0" applyBorder="0">
      <protection locked="0"/>
    </xf>
    <xf numFmtId="0" fontId="61" fillId="0" borderId="54" applyNumberFormat="0" applyFont="0" applyFill="0" applyAlignment="0" applyProtection="0"/>
    <xf numFmtId="167" fontId="9" fillId="45" borderId="0" applyBorder="0" applyProtection="0">
      <alignment horizontal="left" wrapText="1"/>
    </xf>
    <xf numFmtId="0" fontId="67" fillId="32" borderId="0" applyNumberFormat="0" applyBorder="0" applyProtection="0">
      <alignment horizontal="left"/>
    </xf>
    <xf numFmtId="0" fontId="67" fillId="32" borderId="55" applyNumberFormat="0" applyBorder="0" applyProtection="0">
      <alignment horizontal="left" wrapText="1"/>
    </xf>
    <xf numFmtId="0" fontId="11" fillId="0" borderId="0"/>
    <xf numFmtId="0" fontId="31" fillId="0" borderId="0" applyNumberFormat="0" applyFill="0" applyBorder="0">
      <alignment horizontal="left" vertical="center" wrapText="1" indent="1"/>
    </xf>
    <xf numFmtId="0" fontId="52" fillId="0" borderId="0" applyNumberFormat="0" applyFill="0" applyBorder="0">
      <alignment horizontal="left" vertical="center" wrapText="1"/>
    </xf>
    <xf numFmtId="0" fontId="61" fillId="0" borderId="56" applyNumberFormat="0" applyFont="0" applyFill="0" applyAlignment="0" applyProtection="0"/>
    <xf numFmtId="0" fontId="115" fillId="3" borderId="0"/>
    <xf numFmtId="0" fontId="116" fillId="0" borderId="0" applyNumberFormat="0" applyFill="0" applyBorder="0" applyProtection="0">
      <alignment horizontal="left" vertical="center"/>
    </xf>
    <xf numFmtId="0" fontId="115" fillId="3" borderId="0" applyAlignment="0"/>
    <xf numFmtId="225" fontId="61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31" fillId="33" borderId="0">
      <alignment vertical="top" wrapText="1"/>
    </xf>
    <xf numFmtId="40" fontId="61" fillId="0" borderId="0" applyFont="0" applyFill="0" applyBorder="0" applyAlignment="0" applyProtection="0"/>
    <xf numFmtId="226" fontId="61" fillId="0" borderId="0" applyFont="0" applyFill="0" applyBorder="0" applyAlignment="0" applyProtection="0"/>
    <xf numFmtId="0" fontId="117" fillId="0" borderId="0"/>
    <xf numFmtId="0" fontId="17" fillId="7" borderId="15">
      <alignment vertical="top" wrapText="1"/>
    </xf>
    <xf numFmtId="0" fontId="9" fillId="0" borderId="0"/>
    <xf numFmtId="0" fontId="16" fillId="0" borderId="0">
      <alignment horizontal="right"/>
    </xf>
    <xf numFmtId="0" fontId="37" fillId="0" borderId="0"/>
    <xf numFmtId="0" fontId="101" fillId="0" borderId="0"/>
    <xf numFmtId="0" fontId="118" fillId="0" borderId="0"/>
    <xf numFmtId="0" fontId="119" fillId="0" borderId="0" applyNumberFormat="0" applyFill="0" applyBorder="0" applyAlignment="0" applyProtection="0">
      <alignment horizontal="left" vertical="center"/>
    </xf>
    <xf numFmtId="0" fontId="120" fillId="0" borderId="0">
      <alignment horizontal="left"/>
    </xf>
    <xf numFmtId="40" fontId="121" fillId="0" borderId="0" applyBorder="0">
      <alignment horizontal="right"/>
    </xf>
    <xf numFmtId="202" fontId="52" fillId="0" borderId="57" applyNumberFormat="0" applyFill="0" applyAlignment="0" applyProtection="0">
      <alignment vertical="center"/>
    </xf>
    <xf numFmtId="205" fontId="122" fillId="0" borderId="31" applyNumberFormat="0" applyFill="0" applyBorder="0" applyAlignment="0" applyProtection="0">
      <alignment horizontal="center"/>
    </xf>
    <xf numFmtId="202" fontId="31" fillId="0" borderId="58" applyNumberFormat="0" applyFont="0" applyFill="0" applyAlignment="0" applyProtection="0">
      <alignment vertical="center"/>
    </xf>
    <xf numFmtId="0" fontId="31" fillId="2" borderId="0" applyNumberFormat="0" applyFont="0" applyBorder="0" applyAlignment="0" applyProtection="0">
      <alignment vertical="center"/>
    </xf>
    <xf numFmtId="0" fontId="31" fillId="0" borderId="0" applyNumberFormat="0" applyFont="0" applyFill="0" applyAlignment="0" applyProtection="0">
      <alignment vertical="center"/>
    </xf>
    <xf numFmtId="202" fontId="31" fillId="0" borderId="0" applyNumberFormat="0" applyFont="0" applyBorder="0" applyAlignment="0" applyProtection="0">
      <alignment vertical="center"/>
    </xf>
    <xf numFmtId="0" fontId="123" fillId="0" borderId="0"/>
    <xf numFmtId="0" fontId="124" fillId="9" borderId="0" applyNumberFormat="0" applyBorder="0" applyAlignment="0" applyProtection="0">
      <protection locked="0"/>
    </xf>
    <xf numFmtId="227" fontId="9" fillId="0" borderId="15">
      <alignment horizontal="left"/>
    </xf>
    <xf numFmtId="49" fontId="11" fillId="0" borderId="0" applyFill="0" applyBorder="0" applyAlignment="0"/>
    <xf numFmtId="0" fontId="9" fillId="0" borderId="0" applyFill="0" applyBorder="0" applyAlignment="0"/>
    <xf numFmtId="0" fontId="125" fillId="0" borderId="0" applyFill="0" applyBorder="0" applyAlignment="0"/>
    <xf numFmtId="0" fontId="11" fillId="8" borderId="15"/>
    <xf numFmtId="0" fontId="12" fillId="2" borderId="1">
      <alignment wrapText="1"/>
    </xf>
    <xf numFmtId="0" fontId="67" fillId="32" borderId="42" applyNumberFormat="0" applyProtection="0">
      <alignment horizontal="left" vertical="center"/>
    </xf>
    <xf numFmtId="0" fontId="126" fillId="0" borderId="0" applyNumberFormat="0" applyFill="0" applyBorder="0" applyAlignment="0" applyProtection="0"/>
    <xf numFmtId="202" fontId="52" fillId="0" borderId="0" applyNumberFormat="0" applyFill="0" applyBorder="0" applyAlignment="0" applyProtection="0">
      <alignment vertical="center"/>
    </xf>
    <xf numFmtId="202" fontId="52" fillId="33" borderId="0" applyNumberFormat="0" applyAlignment="0" applyProtection="0">
      <alignment vertical="center"/>
    </xf>
    <xf numFmtId="0" fontId="31" fillId="0" borderId="0" applyNumberFormat="0" applyFont="0" applyBorder="0" applyAlignment="0" applyProtection="0">
      <alignment vertical="center"/>
    </xf>
    <xf numFmtId="37" fontId="17" fillId="8" borderId="0" applyNumberFormat="0" applyBorder="0" applyAlignment="0" applyProtection="0"/>
    <xf numFmtId="37" fontId="17" fillId="0" borderId="0"/>
    <xf numFmtId="3" fontId="127" fillId="0" borderId="59" applyProtection="0"/>
    <xf numFmtId="0" fontId="31" fillId="0" borderId="0" applyNumberFormat="0" applyFont="0" applyAlignment="0" applyProtection="0">
      <alignment vertical="center"/>
    </xf>
    <xf numFmtId="228" fontId="9" fillId="0" borderId="0" applyFont="0" applyFill="0" applyBorder="0" applyAlignment="0" applyProtection="0"/>
    <xf numFmtId="229" fontId="9" fillId="0" borderId="0" applyFont="0" applyFill="0" applyBorder="0" applyAlignment="0" applyProtection="0"/>
    <xf numFmtId="0" fontId="128" fillId="0" borderId="0" applyNumberFormat="0" applyFill="0" applyBorder="0" applyAlignment="0" applyProtection="0"/>
    <xf numFmtId="0" fontId="10" fillId="3" borderId="0" applyAlignment="0"/>
    <xf numFmtId="0" fontId="61" fillId="32" borderId="0" applyNumberFormat="0" applyBorder="0" applyProtection="0">
      <alignment horizontal="left"/>
    </xf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73" fontId="9" fillId="0" borderId="0" applyFont="0" applyFill="0" applyBorder="0" applyAlignment="0" applyProtection="0"/>
    <xf numFmtId="230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22" fillId="0" borderId="0"/>
    <xf numFmtId="0" fontId="22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ill="0" applyBorder="0"/>
    <xf numFmtId="0" fontId="46" fillId="0" borderId="0"/>
    <xf numFmtId="0" fontId="9" fillId="0" borderId="0" applyFill="0" applyBorder="0"/>
    <xf numFmtId="0" fontId="22" fillId="0" borderId="0"/>
    <xf numFmtId="0" fontId="9" fillId="0" borderId="0">
      <alignment horizontal="right"/>
    </xf>
    <xf numFmtId="0" fontId="9" fillId="0" borderId="0" applyFont="0" applyFill="0" applyBorder="0" applyAlignment="0" applyProtection="0"/>
    <xf numFmtId="176" fontId="134" fillId="0" borderId="0"/>
    <xf numFmtId="176" fontId="135" fillId="0" borderId="0" applyFill="0" applyBorder="0" applyAlignment="0" applyProtection="0">
      <alignment horizontal="left"/>
    </xf>
    <xf numFmtId="0" fontId="9" fillId="0" borderId="0" applyFont="0" applyFill="0" applyBorder="0" applyAlignment="0" applyProtection="0"/>
    <xf numFmtId="171" fontId="136" fillId="2" borderId="0">
      <protection locked="0"/>
    </xf>
    <xf numFmtId="3" fontId="137" fillId="2" borderId="0">
      <alignment horizontal="right"/>
      <protection locked="0"/>
    </xf>
    <xf numFmtId="231" fontId="136" fillId="2" borderId="0" applyBorder="0">
      <alignment horizontal="right"/>
      <protection locked="0"/>
    </xf>
    <xf numFmtId="232" fontId="100" fillId="0" borderId="0" applyFont="0" applyFill="0" applyBorder="0" applyAlignment="0" applyProtection="0"/>
    <xf numFmtId="3" fontId="138" fillId="0" borderId="0"/>
    <xf numFmtId="3" fontId="139" fillId="0" borderId="0">
      <alignment horizontal="left"/>
    </xf>
    <xf numFmtId="176" fontId="140" fillId="0" borderId="0">
      <alignment horizontal="left"/>
    </xf>
    <xf numFmtId="176" fontId="141" fillId="0" borderId="0">
      <alignment horizontal="left"/>
    </xf>
    <xf numFmtId="3" fontId="142" fillId="0" borderId="0"/>
    <xf numFmtId="3" fontId="143" fillId="0" borderId="0"/>
    <xf numFmtId="170" fontId="12" fillId="0" borderId="60"/>
    <xf numFmtId="0" fontId="67" fillId="0" borderId="0">
      <alignment horizontal="centerContinuous"/>
    </xf>
    <xf numFmtId="0" fontId="12" fillId="0" borderId="0"/>
    <xf numFmtId="233" fontId="100" fillId="0" borderId="0" applyFont="0" applyFill="0" applyBorder="0" applyAlignment="0" applyProtection="0"/>
    <xf numFmtId="0" fontId="144" fillId="0" borderId="0">
      <alignment horizontal="right"/>
    </xf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178" fontId="2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9" fillId="0" borderId="0">
      <alignment vertical="top"/>
    </xf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11" fillId="0" borderId="0">
      <alignment vertical="top"/>
    </xf>
    <xf numFmtId="0" fontId="4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0" fillId="0" borderId="0">
      <protection locked="0"/>
    </xf>
    <xf numFmtId="0" fontId="9" fillId="0" borderId="0"/>
    <xf numFmtId="234" fontId="9" fillId="0" borderId="0" applyFont="0" applyFill="0" applyBorder="0" applyAlignment="0" applyProtection="0"/>
    <xf numFmtId="235" fontId="151" fillId="0" borderId="0" applyFont="0" applyFill="0" applyBorder="0" applyAlignment="0" applyProtection="0"/>
    <xf numFmtId="0" fontId="9" fillId="0" borderId="0"/>
    <xf numFmtId="225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173" fontId="46" fillId="0" borderId="0" applyFont="0" applyFill="0" applyBorder="0" applyAlignment="0" applyProtection="0"/>
    <xf numFmtId="39" fontId="9" fillId="0" borderId="0" applyFont="0" applyFill="0" applyBorder="0" applyAlignment="0" applyProtection="0"/>
    <xf numFmtId="237" fontId="151" fillId="0" borderId="0" applyFont="0" applyFill="0" applyBorder="0" applyAlignment="0" applyProtection="0"/>
    <xf numFmtId="0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238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239" fontId="9" fillId="0" borderId="0" applyFont="0" applyFill="0" applyBorder="0" applyAlignment="0" applyProtection="0"/>
    <xf numFmtId="37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41" fontId="9" fillId="0" borderId="0" applyFont="0" applyFill="0" applyBorder="0" applyAlignment="0" applyProtection="0"/>
    <xf numFmtId="242" fontId="9" fillId="0" borderId="0" applyFont="0" applyFill="0" applyBorder="0" applyAlignment="0" applyProtection="0"/>
    <xf numFmtId="243" fontId="9" fillId="0" borderId="0" applyFont="0" applyFill="0" applyBorder="0" applyAlignment="0" applyProtection="0"/>
    <xf numFmtId="17" fontId="9" fillId="0" borderId="0" applyFont="0" applyFill="0" applyBorder="0" applyAlignment="0" applyProtection="0"/>
    <xf numFmtId="24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245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246" fontId="9" fillId="0" borderId="0" applyFont="0" applyFill="0" applyBorder="0" applyAlignment="0" applyProtection="0"/>
    <xf numFmtId="1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15" fontId="31" fillId="0" borderId="0" applyFont="0" applyFill="0" applyBorder="0" applyAlignment="0">
      <alignment horizontal="left"/>
    </xf>
    <xf numFmtId="3" fontId="9" fillId="0" borderId="0" applyFont="0" applyFill="0" applyAlignment="0" applyProtection="0"/>
    <xf numFmtId="3" fontId="9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247" fontId="153" fillId="0" borderId="0" applyFont="0" applyFill="0" applyBorder="0" applyAlignment="0" applyProtection="0"/>
    <xf numFmtId="0" fontId="9" fillId="0" borderId="0" applyNumberFormat="0" applyFill="0" applyBorder="0" applyAlignment="0" applyProtection="0"/>
    <xf numFmtId="38" fontId="154" fillId="8" borderId="1" applyNumberFormat="0" applyFont="0" applyAlignment="0" applyProtection="0"/>
    <xf numFmtId="0" fontId="9" fillId="47" borderId="0" applyNumberFormat="0" applyFont="0" applyAlignment="0"/>
    <xf numFmtId="0" fontId="9" fillId="48" borderId="61" applyNumberFormat="0" applyFont="0" applyAlignment="0"/>
    <xf numFmtId="248" fontId="151" fillId="0" borderId="0" applyFont="0" applyFill="0" applyBorder="0" applyAlignment="0" applyProtection="0"/>
    <xf numFmtId="249" fontId="9" fillId="0" borderId="62" applyBorder="0" applyAlignment="0" applyProtection="0">
      <alignment horizontal="center"/>
    </xf>
    <xf numFmtId="0" fontId="9" fillId="0" borderId="0" applyNumberFormat="0" applyFill="0" applyBorder="0" applyAlignment="0" applyProtection="0"/>
    <xf numFmtId="0" fontId="3" fillId="0" borderId="0"/>
    <xf numFmtId="0" fontId="30" fillId="0" borderId="0"/>
    <xf numFmtId="38" fontId="151" fillId="0" borderId="0" applyNumberFormat="0" applyFill="0" applyBorder="0" applyAlignment="0" applyProtection="0"/>
    <xf numFmtId="0" fontId="48" fillId="0" borderId="0"/>
    <xf numFmtId="49" fontId="31" fillId="0" borderId="0">
      <alignment horizontal="right"/>
    </xf>
    <xf numFmtId="3" fontId="17" fillId="0" borderId="0"/>
    <xf numFmtId="0" fontId="44" fillId="0" borderId="0"/>
    <xf numFmtId="241" fontId="9" fillId="0" borderId="34" applyNumberFormat="0" applyFont="0"/>
    <xf numFmtId="0" fontId="52" fillId="0" borderId="0" applyNumberFormat="0"/>
    <xf numFmtId="241" fontId="155" fillId="0" borderId="0" applyNumberFormat="0">
      <alignment horizontal="centerContinuous"/>
    </xf>
    <xf numFmtId="241" fontId="9" fillId="0" borderId="0" applyNumberFormat="0" applyAlignment="0"/>
    <xf numFmtId="241" fontId="52" fillId="0" borderId="0">
      <alignment horizontal="centerContinuous"/>
    </xf>
    <xf numFmtId="250" fontId="151" fillId="0" borderId="0" applyFont="0" applyFill="0" applyBorder="0" applyAlignment="0" applyProtection="0"/>
    <xf numFmtId="251" fontId="151" fillId="0" borderId="0" applyFont="0" applyFill="0" applyBorder="0" applyAlignment="0" applyProtection="0"/>
    <xf numFmtId="3" fontId="156" fillId="0" borderId="0"/>
    <xf numFmtId="0" fontId="52" fillId="0" borderId="63">
      <alignment horizontal="right" wrapText="1"/>
    </xf>
    <xf numFmtId="241" fontId="9" fillId="0" borderId="0" applyNumberFormat="0" applyFill="0" applyBorder="0" applyAlignment="0" applyProtection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94" fillId="15" borderId="52" applyNumberFormat="0" applyAlignment="0" applyProtection="0"/>
    <xf numFmtId="41" fontId="9" fillId="0" borderId="0" applyFont="0" applyFill="0" applyBorder="0" applyAlignment="0" applyProtection="0"/>
    <xf numFmtId="41" fontId="16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0">
    <xf numFmtId="0" fontId="0" fillId="0" borderId="0" xfId="0"/>
    <xf numFmtId="0" fontId="10" fillId="3" borderId="0" xfId="0" applyFont="1" applyFill="1"/>
    <xf numFmtId="0" fontId="0" fillId="0" borderId="0" xfId="0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4" fillId="0" borderId="0" xfId="0" applyFont="1" applyFill="1"/>
    <xf numFmtId="0" fontId="10" fillId="0" borderId="0" xfId="0" applyFont="1" applyFill="1"/>
    <xf numFmtId="0" fontId="0" fillId="0" borderId="2" xfId="0" applyBorder="1"/>
    <xf numFmtId="0" fontId="0" fillId="0" borderId="3" xfId="0" applyBorder="1"/>
    <xf numFmtId="0" fontId="11" fillId="0" borderId="1" xfId="0" applyFont="1" applyFill="1" applyBorder="1"/>
    <xf numFmtId="0" fontId="0" fillId="0" borderId="0" xfId="0" applyFill="1"/>
    <xf numFmtId="0" fontId="0" fillId="0" borderId="0" xfId="0" applyBorder="1"/>
    <xf numFmtId="0" fontId="11" fillId="0" borderId="0" xfId="0" applyFont="1" applyFill="1" applyBorder="1"/>
    <xf numFmtId="0" fontId="12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8" fillId="0" borderId="14" xfId="0" applyFont="1" applyFill="1" applyBorder="1"/>
    <xf numFmtId="0" fontId="10" fillId="3" borderId="0" xfId="5" applyFont="1" applyFill="1" applyAlignment="1">
      <alignment horizontal="left" vertical="center"/>
    </xf>
    <xf numFmtId="0" fontId="10" fillId="3" borderId="0" xfId="5" applyFont="1" applyFill="1"/>
    <xf numFmtId="0" fontId="19" fillId="3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10" fillId="3" borderId="0" xfId="0" applyFont="1" applyFill="1" applyAlignment="1">
      <alignment horizontal="center"/>
    </xf>
    <xf numFmtId="0" fontId="25" fillId="3" borderId="0" xfId="0" applyFont="1" applyFill="1"/>
    <xf numFmtId="0" fontId="26" fillId="0" borderId="3" xfId="0" applyFont="1" applyBorder="1"/>
    <xf numFmtId="0" fontId="26" fillId="0" borderId="0" xfId="0" applyFont="1"/>
    <xf numFmtId="0" fontId="18" fillId="0" borderId="18" xfId="0" applyFont="1" applyFill="1" applyBorder="1"/>
    <xf numFmtId="0" fontId="11" fillId="0" borderId="8" xfId="0" applyFont="1" applyFill="1" applyBorder="1"/>
    <xf numFmtId="0" fontId="11" fillId="0" borderId="19" xfId="0" applyFont="1" applyFill="1" applyBorder="1"/>
    <xf numFmtId="166" fontId="16" fillId="0" borderId="20" xfId="3" applyNumberFormat="1" applyFont="1" applyFill="1" applyBorder="1"/>
    <xf numFmtId="0" fontId="18" fillId="0" borderId="3" xfId="0" applyFont="1" applyFill="1" applyBorder="1"/>
    <xf numFmtId="169" fontId="18" fillId="0" borderId="4" xfId="3" applyNumberFormat="1" applyFont="1" applyFill="1" applyBorder="1"/>
    <xf numFmtId="0" fontId="12" fillId="0" borderId="18" xfId="0" applyFont="1" applyFill="1" applyBorder="1"/>
    <xf numFmtId="0" fontId="0" fillId="0" borderId="0" xfId="0" applyFill="1" applyBorder="1"/>
    <xf numFmtId="0" fontId="18" fillId="0" borderId="0" xfId="0" applyFont="1" applyFill="1" applyBorder="1"/>
    <xf numFmtId="0" fontId="10" fillId="0" borderId="0" xfId="0" applyFont="1" applyFill="1" applyBorder="1"/>
    <xf numFmtId="0" fontId="19" fillId="0" borderId="0" xfId="0" applyFont="1" applyFill="1" applyBorder="1" applyAlignment="1">
      <alignment horizontal="center" vertical="center" wrapText="1"/>
    </xf>
    <xf numFmtId="0" fontId="11" fillId="3" borderId="0" xfId="0" applyFont="1" applyFill="1"/>
    <xf numFmtId="168" fontId="0" fillId="0" borderId="0" xfId="0" applyNumberFormat="1"/>
    <xf numFmtId="165" fontId="0" fillId="0" borderId="0" xfId="3" applyFont="1"/>
    <xf numFmtId="0" fontId="27" fillId="4" borderId="0" xfId="4" applyFont="1" applyFill="1"/>
    <xf numFmtId="0" fontId="12" fillId="0" borderId="0" xfId="0" applyFont="1" applyFill="1" applyBorder="1"/>
    <xf numFmtId="3" fontId="0" fillId="0" borderId="0" xfId="0" applyNumberFormat="1"/>
    <xf numFmtId="165" fontId="13" fillId="0" borderId="6" xfId="3" applyFont="1" applyFill="1" applyBorder="1"/>
    <xf numFmtId="165" fontId="15" fillId="0" borderId="22" xfId="3" applyFont="1" applyFill="1" applyBorder="1"/>
    <xf numFmtId="165" fontId="15" fillId="0" borderId="27" xfId="3" applyFont="1" applyFill="1" applyBorder="1"/>
    <xf numFmtId="165" fontId="13" fillId="0" borderId="16" xfId="3" applyFont="1" applyFill="1" applyBorder="1"/>
    <xf numFmtId="165" fontId="12" fillId="0" borderId="1" xfId="3" applyFont="1" applyFill="1" applyBorder="1"/>
    <xf numFmtId="0" fontId="23" fillId="0" borderId="0" xfId="1" applyFont="1" applyFill="1" applyBorder="1">
      <alignment horizontal="center" wrapText="1"/>
    </xf>
    <xf numFmtId="0" fontId="20" fillId="0" borderId="0" xfId="0" applyFont="1" applyFill="1" applyBorder="1" applyAlignment="1">
      <alignment vertical="center"/>
    </xf>
    <xf numFmtId="165" fontId="0" fillId="0" borderId="0" xfId="3" applyFont="1" applyFill="1" applyBorder="1"/>
    <xf numFmtId="0" fontId="19" fillId="3" borderId="1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19" fillId="3" borderId="18" xfId="0" applyFont="1" applyFill="1" applyBorder="1" applyAlignment="1">
      <alignment wrapText="1"/>
    </xf>
    <xf numFmtId="0" fontId="19" fillId="3" borderId="7" xfId="0" applyFont="1" applyFill="1" applyBorder="1" applyAlignment="1">
      <alignment horizontal="center" wrapText="1"/>
    </xf>
    <xf numFmtId="0" fontId="19" fillId="3" borderId="8" xfId="0" applyFont="1" applyFill="1" applyBorder="1" applyAlignment="1">
      <alignment horizontal="center" wrapText="1"/>
    </xf>
    <xf numFmtId="1" fontId="11" fillId="0" borderId="0" xfId="0" applyNumberFormat="1" applyFont="1" applyFill="1" applyBorder="1"/>
    <xf numFmtId="165" fontId="12" fillId="0" borderId="0" xfId="0" applyNumberFormat="1" applyFont="1" applyBorder="1"/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2" fillId="0" borderId="12" xfId="0" applyFont="1" applyFill="1" applyBorder="1"/>
    <xf numFmtId="165" fontId="12" fillId="0" borderId="12" xfId="3" applyFont="1" applyBorder="1"/>
    <xf numFmtId="165" fontId="12" fillId="0" borderId="3" xfId="3" applyFont="1" applyBorder="1"/>
    <xf numFmtId="0" fontId="10" fillId="3" borderId="0" xfId="0" applyFont="1" applyFill="1" applyBorder="1"/>
    <xf numFmtId="0" fontId="12" fillId="0" borderId="30" xfId="0" applyFont="1" applyFill="1" applyBorder="1"/>
    <xf numFmtId="0" fontId="12" fillId="0" borderId="2" xfId="0" applyFont="1" applyBorder="1"/>
    <xf numFmtId="0" fontId="12" fillId="0" borderId="0" xfId="0" applyFont="1"/>
    <xf numFmtId="0" fontId="19" fillId="3" borderId="1" xfId="0" applyFont="1" applyFill="1" applyBorder="1"/>
    <xf numFmtId="0" fontId="28" fillId="0" borderId="33" xfId="0" applyFont="1" applyFill="1" applyBorder="1" applyAlignment="1">
      <alignment vertical="center"/>
    </xf>
    <xf numFmtId="165" fontId="19" fillId="3" borderId="1" xfId="3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indent="1"/>
    </xf>
    <xf numFmtId="165" fontId="19" fillId="3" borderId="8" xfId="3" applyFont="1" applyFill="1" applyBorder="1"/>
    <xf numFmtId="165" fontId="19" fillId="3" borderId="1" xfId="3" applyFont="1" applyFill="1" applyBorder="1"/>
    <xf numFmtId="0" fontId="19" fillId="3" borderId="1" xfId="0" applyFont="1" applyFill="1" applyBorder="1" applyAlignment="1">
      <alignment horizontal="left" indent="1"/>
    </xf>
    <xf numFmtId="0" fontId="19" fillId="0" borderId="0" xfId="0" applyFont="1" applyFill="1" applyBorder="1" applyAlignment="1">
      <alignment horizontal="center" vertical="center"/>
    </xf>
    <xf numFmtId="165" fontId="0" fillId="0" borderId="12" xfId="3" applyFont="1" applyBorder="1"/>
    <xf numFmtId="0" fontId="19" fillId="3" borderId="1" xfId="0" applyFont="1" applyFill="1" applyBorder="1" applyAlignment="1">
      <alignment horizontal="left" vertical="center" wrapText="1"/>
    </xf>
    <xf numFmtId="165" fontId="0" fillId="0" borderId="0" xfId="0" applyNumberFormat="1"/>
    <xf numFmtId="165" fontId="15" fillId="0" borderId="23" xfId="3" applyFont="1" applyFill="1" applyBorder="1"/>
    <xf numFmtId="165" fontId="13" fillId="0" borderId="5" xfId="3" applyFont="1" applyFill="1" applyBorder="1"/>
    <xf numFmtId="17" fontId="19" fillId="3" borderId="29" xfId="3" applyNumberFormat="1" applyFont="1" applyFill="1" applyBorder="1"/>
    <xf numFmtId="17" fontId="19" fillId="3" borderId="8" xfId="3" applyNumberFormat="1" applyFont="1" applyFill="1" applyBorder="1"/>
    <xf numFmtId="165" fontId="16" fillId="0" borderId="5" xfId="3" applyFont="1" applyFill="1" applyBorder="1"/>
    <xf numFmtId="0" fontId="12" fillId="0" borderId="18" xfId="0" applyFont="1" applyBorder="1"/>
    <xf numFmtId="0" fontId="12" fillId="0" borderId="14" xfId="0" applyFont="1" applyFill="1" applyBorder="1"/>
    <xf numFmtId="0" fontId="0" fillId="0" borderId="18" xfId="0" applyBorder="1"/>
    <xf numFmtId="0" fontId="18" fillId="0" borderId="36" xfId="0" applyFont="1" applyFill="1" applyBorder="1"/>
    <xf numFmtId="0" fontId="18" fillId="0" borderId="5" xfId="0" applyFont="1" applyFill="1" applyBorder="1"/>
    <xf numFmtId="43" fontId="0" fillId="0" borderId="0" xfId="0" applyNumberFormat="1"/>
    <xf numFmtId="9" fontId="0" fillId="0" borderId="0" xfId="6" applyFont="1"/>
    <xf numFmtId="171" fontId="0" fillId="0" borderId="0" xfId="6" applyNumberFormat="1" applyFont="1"/>
    <xf numFmtId="9" fontId="0" fillId="0" borderId="0" xfId="0" applyNumberFormat="1"/>
    <xf numFmtId="4" fontId="0" fillId="0" borderId="0" xfId="0" applyNumberFormat="1"/>
    <xf numFmtId="171" fontId="0" fillId="0" borderId="0" xfId="0" applyNumberFormat="1"/>
    <xf numFmtId="0" fontId="19" fillId="3" borderId="32" xfId="0" applyFont="1" applyFill="1" applyBorder="1" applyAlignment="1">
      <alignment wrapText="1"/>
    </xf>
    <xf numFmtId="0" fontId="19" fillId="3" borderId="24" xfId="0" applyFont="1" applyFill="1" applyBorder="1" applyAlignment="1">
      <alignment wrapText="1"/>
    </xf>
    <xf numFmtId="0" fontId="19" fillId="3" borderId="13" xfId="0" applyFont="1" applyFill="1" applyBorder="1" applyAlignment="1">
      <alignment wrapText="1"/>
    </xf>
    <xf numFmtId="10" fontId="0" fillId="0" borderId="0" xfId="6" applyNumberFormat="1" applyFont="1"/>
    <xf numFmtId="0" fontId="2" fillId="0" borderId="0" xfId="604"/>
    <xf numFmtId="0" fontId="2" fillId="0" borderId="0" xfId="604" applyFill="1" applyBorder="1"/>
    <xf numFmtId="0" fontId="33" fillId="0" borderId="0" xfId="0" applyFont="1" applyFill="1" applyBorder="1" applyAlignment="1">
      <alignment vertical="top" wrapText="1"/>
    </xf>
    <xf numFmtId="9" fontId="33" fillId="0" borderId="0" xfId="0" applyNumberFormat="1" applyFont="1" applyFill="1" applyBorder="1"/>
    <xf numFmtId="171" fontId="32" fillId="0" borderId="0" xfId="6" applyNumberFormat="1" applyFont="1" applyFill="1"/>
    <xf numFmtId="165" fontId="12" fillId="0" borderId="3" xfId="0" applyNumberFormat="1" applyFont="1" applyFill="1" applyBorder="1"/>
    <xf numFmtId="171" fontId="33" fillId="0" borderId="0" xfId="6" applyNumberFormat="1" applyFont="1" applyFill="1" applyAlignment="1">
      <alignment horizontal="center"/>
    </xf>
    <xf numFmtId="171" fontId="0" fillId="0" borderId="0" xfId="6" applyNumberFormat="1" applyFont="1" applyFill="1"/>
    <xf numFmtId="9" fontId="129" fillId="0" borderId="0" xfId="0" applyNumberFormat="1" applyFont="1" applyFill="1" applyBorder="1"/>
    <xf numFmtId="4" fontId="0" fillId="0" borderId="0" xfId="6" applyNumberFormat="1" applyFont="1" applyFill="1"/>
    <xf numFmtId="9" fontId="9" fillId="0" borderId="22" xfId="6" applyFont="1" applyFill="1" applyBorder="1"/>
    <xf numFmtId="9" fontId="9" fillId="0" borderId="22" xfId="0" applyNumberFormat="1" applyFont="1" applyFill="1" applyBorder="1"/>
    <xf numFmtId="0" fontId="33" fillId="0" borderId="0" xfId="0" applyFont="1" applyFill="1" applyBorder="1"/>
    <xf numFmtId="165" fontId="33" fillId="0" borderId="0" xfId="0" applyNumberFormat="1" applyFont="1" applyFill="1" applyBorder="1"/>
    <xf numFmtId="0" fontId="33" fillId="0" borderId="0" xfId="0" applyFont="1" applyFill="1" applyAlignment="1">
      <alignment wrapText="1"/>
    </xf>
    <xf numFmtId="0" fontId="9" fillId="0" borderId="0" xfId="0" applyFont="1" applyFill="1" applyAlignment="1">
      <alignment horizontal="left" vertical="top" wrapText="1"/>
    </xf>
    <xf numFmtId="0" fontId="2" fillId="0" borderId="0" xfId="604" applyFill="1"/>
    <xf numFmtId="4" fontId="2" fillId="0" borderId="0" xfId="604" applyNumberFormat="1" applyFill="1"/>
    <xf numFmtId="0" fontId="131" fillId="0" borderId="0" xfId="604" applyFont="1" applyFill="1" applyBorder="1"/>
    <xf numFmtId="4" fontId="131" fillId="0" borderId="0" xfId="604" applyNumberFormat="1" applyFont="1" applyFill="1" applyBorder="1"/>
    <xf numFmtId="0" fontId="145" fillId="0" borderId="2" xfId="0" applyFont="1" applyFill="1" applyBorder="1" applyAlignment="1">
      <alignment horizontal="center" vertical="center"/>
    </xf>
    <xf numFmtId="0" fontId="145" fillId="0" borderId="0" xfId="0" applyFont="1" applyFill="1" applyAlignment="1">
      <alignment horizontal="center" vertical="center"/>
    </xf>
    <xf numFmtId="0" fontId="9" fillId="0" borderId="0" xfId="0" quotePrefix="1" applyFont="1" applyBorder="1"/>
    <xf numFmtId="0" fontId="9" fillId="0" borderId="0" xfId="0" applyFont="1" applyBorder="1" applyAlignment="1">
      <alignment vertical="top" wrapText="1"/>
    </xf>
    <xf numFmtId="3" fontId="9" fillId="0" borderId="0" xfId="0" quotePrefix="1" applyNumberFormat="1" applyFont="1" applyBorder="1" applyAlignment="1">
      <alignment vertical="top" wrapText="1"/>
    </xf>
    <xf numFmtId="4" fontId="157" fillId="0" borderId="0" xfId="604" applyNumberFormat="1" applyFont="1" applyFill="1" applyBorder="1"/>
    <xf numFmtId="0" fontId="159" fillId="0" borderId="0" xfId="604" applyFont="1" applyFill="1"/>
    <xf numFmtId="4" fontId="29" fillId="0" borderId="32" xfId="0" applyNumberFormat="1" applyFont="1" applyBorder="1" applyAlignment="1">
      <alignment vertical="center"/>
    </xf>
    <xf numFmtId="0" fontId="9" fillId="0" borderId="0" xfId="0" applyFont="1" applyFill="1"/>
    <xf numFmtId="172" fontId="9" fillId="0" borderId="1" xfId="0" applyNumberFormat="1" applyFont="1" applyFill="1" applyBorder="1" applyAlignment="1">
      <alignment horizontal="center"/>
    </xf>
    <xf numFmtId="0" fontId="147" fillId="0" borderId="37" xfId="604" applyFont="1" applyFill="1" applyBorder="1" applyAlignment="1">
      <alignment horizontal="center" vertical="center" wrapText="1"/>
    </xf>
    <xf numFmtId="10" fontId="9" fillId="0" borderId="19" xfId="0" applyNumberFormat="1" applyFont="1" applyFill="1" applyBorder="1"/>
    <xf numFmtId="1" fontId="9" fillId="0" borderId="22" xfId="0" applyNumberFormat="1" applyFont="1" applyFill="1" applyBorder="1"/>
    <xf numFmtId="9" fontId="9" fillId="0" borderId="17" xfId="6" applyFont="1" applyFill="1" applyBorder="1"/>
    <xf numFmtId="4" fontId="83" fillId="0" borderId="0" xfId="0" applyNumberFormat="1" applyFont="1" applyFill="1" applyBorder="1"/>
    <xf numFmtId="0" fontId="133" fillId="0" borderId="0" xfId="0" applyFont="1" applyFill="1" applyBorder="1"/>
    <xf numFmtId="4" fontId="12" fillId="0" borderId="0" xfId="0" applyNumberFormat="1" applyFont="1" applyFill="1" applyBorder="1"/>
    <xf numFmtId="0" fontId="9" fillId="0" borderId="0" xfId="0" applyFont="1" applyFill="1" applyBorder="1"/>
    <xf numFmtId="0" fontId="9" fillId="0" borderId="1" xfId="0" applyFont="1" applyFill="1" applyBorder="1"/>
    <xf numFmtId="4" fontId="9" fillId="0" borderId="1" xfId="0" applyNumberFormat="1" applyFont="1" applyFill="1" applyBorder="1"/>
    <xf numFmtId="0" fontId="12" fillId="0" borderId="1" xfId="0" applyFont="1" applyFill="1" applyBorder="1"/>
    <xf numFmtId="4" fontId="12" fillId="0" borderId="1" xfId="0" applyNumberFormat="1" applyFont="1" applyFill="1" applyBorder="1"/>
    <xf numFmtId="4" fontId="9" fillId="0" borderId="0" xfId="0" applyNumberFormat="1" applyFont="1" applyFill="1" applyBorder="1"/>
    <xf numFmtId="0" fontId="9" fillId="0" borderId="0" xfId="0" applyFont="1" applyFill="1" applyBorder="1" applyAlignment="1">
      <alignment vertical="top" wrapText="1"/>
    </xf>
    <xf numFmtId="9" fontId="9" fillId="0" borderId="0" xfId="0" applyNumberFormat="1" applyFont="1" applyFill="1" applyBorder="1"/>
    <xf numFmtId="0" fontId="84" fillId="0" borderId="1" xfId="0" applyFont="1" applyFill="1" applyBorder="1" applyAlignment="1">
      <alignment horizontal="right" vertical="top" wrapText="1"/>
    </xf>
    <xf numFmtId="4" fontId="83" fillId="0" borderId="1" xfId="0" applyNumberFormat="1" applyFont="1" applyFill="1" applyBorder="1"/>
    <xf numFmtId="4" fontId="82" fillId="0" borderId="1" xfId="0" applyNumberFormat="1" applyFont="1" applyFill="1" applyBorder="1"/>
    <xf numFmtId="10" fontId="82" fillId="0" borderId="18" xfId="6" applyNumberFormat="1" applyFont="1" applyFill="1" applyBorder="1" applyAlignment="1">
      <alignment horizontal="center"/>
    </xf>
    <xf numFmtId="0" fontId="0" fillId="0" borderId="9" xfId="0" applyFill="1" applyBorder="1"/>
    <xf numFmtId="0" fontId="12" fillId="0" borderId="1" xfId="0" applyFont="1" applyFill="1" applyBorder="1" applyAlignment="1">
      <alignment horizontal="right"/>
    </xf>
    <xf numFmtId="165" fontId="9" fillId="0" borderId="1" xfId="0" applyNumberFormat="1" applyFont="1" applyFill="1" applyBorder="1"/>
    <xf numFmtId="0" fontId="162" fillId="0" borderId="0" xfId="0" applyFont="1" applyFill="1"/>
    <xf numFmtId="0" fontId="160" fillId="0" borderId="1" xfId="0" applyFont="1" applyFill="1" applyBorder="1" applyAlignment="1">
      <alignment vertical="top" wrapText="1"/>
    </xf>
    <xf numFmtId="165" fontId="9" fillId="0" borderId="3" xfId="0" applyNumberFormat="1" applyFont="1" applyFill="1" applyBorder="1"/>
    <xf numFmtId="165" fontId="12" fillId="0" borderId="8" xfId="0" applyNumberFormat="1" applyFont="1" applyFill="1" applyBorder="1"/>
    <xf numFmtId="0" fontId="169" fillId="0" borderId="0" xfId="0" applyFont="1" applyFill="1"/>
    <xf numFmtId="4" fontId="169" fillId="0" borderId="0" xfId="0" applyNumberFormat="1" applyFont="1" applyFill="1"/>
    <xf numFmtId="4" fontId="83" fillId="0" borderId="1" xfId="0" applyNumberFormat="1" applyFont="1" applyFill="1" applyBorder="1" applyAlignment="1">
      <alignment horizontal="center" vertical="center" wrapText="1"/>
    </xf>
    <xf numFmtId="4" fontId="83" fillId="0" borderId="30" xfId="0" applyNumberFormat="1" applyFont="1" applyFill="1" applyBorder="1" applyAlignment="1">
      <alignment horizontal="center" vertical="center" wrapText="1"/>
    </xf>
    <xf numFmtId="0" fontId="83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wrapText="1"/>
    </xf>
    <xf numFmtId="4" fontId="9" fillId="0" borderId="1" xfId="3" applyNumberFormat="1" applyFont="1" applyFill="1" applyBorder="1" applyAlignment="1">
      <alignment wrapText="1"/>
    </xf>
    <xf numFmtId="0" fontId="83" fillId="0" borderId="0" xfId="0" applyFont="1" applyFill="1"/>
    <xf numFmtId="4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517" applyNumberFormat="1" applyFont="1" applyFill="1" applyBorder="1" applyAlignment="1">
      <alignment horizontal="center"/>
    </xf>
    <xf numFmtId="168" fontId="9" fillId="0" borderId="1" xfId="517" applyNumberFormat="1" applyFont="1" applyFill="1" applyBorder="1"/>
    <xf numFmtId="0" fontId="163" fillId="0" borderId="0" xfId="5" applyFont="1" applyFill="1" applyAlignment="1">
      <alignment horizontal="left" vertical="center"/>
    </xf>
    <xf numFmtId="167" fontId="9" fillId="0" borderId="1" xfId="0" applyNumberFormat="1" applyFont="1" applyFill="1" applyBorder="1"/>
    <xf numFmtId="3" fontId="9" fillId="0" borderId="1" xfId="0" applyNumberFormat="1" applyFont="1" applyFill="1" applyBorder="1"/>
    <xf numFmtId="0" fontId="27" fillId="0" borderId="0" xfId="4" applyFont="1" applyFill="1"/>
    <xf numFmtId="0" fontId="27" fillId="0" borderId="0" xfId="4" applyFont="1" applyFill="1" applyBorder="1"/>
    <xf numFmtId="10" fontId="83" fillId="0" borderId="7" xfId="6" applyNumberFormat="1" applyFont="1" applyFill="1" applyBorder="1"/>
    <xf numFmtId="0" fontId="133" fillId="0" borderId="0" xfId="0" applyFont="1" applyFill="1"/>
    <xf numFmtId="3" fontId="2" fillId="0" borderId="1" xfId="604" applyNumberFormat="1" applyFill="1" applyBorder="1" applyAlignment="1">
      <alignment horizontal="center" vertical="center" wrapText="1"/>
    </xf>
    <xf numFmtId="0" fontId="130" fillId="0" borderId="0" xfId="604" applyFont="1" applyFill="1"/>
    <xf numFmtId="0" fontId="2" fillId="0" borderId="1" xfId="604" applyFill="1" applyBorder="1"/>
    <xf numFmtId="4" fontId="2" fillId="0" borderId="1" xfId="604" applyNumberFormat="1" applyFill="1" applyBorder="1"/>
    <xf numFmtId="4" fontId="2" fillId="0" borderId="0" xfId="604" applyNumberFormat="1" applyFill="1" applyBorder="1"/>
    <xf numFmtId="171" fontId="0" fillId="0" borderId="0" xfId="605" applyNumberFormat="1" applyFont="1" applyFill="1" applyAlignment="1">
      <alignment horizontal="left"/>
    </xf>
    <xf numFmtId="0" fontId="146" fillId="0" borderId="1" xfId="344" applyFont="1" applyFill="1" applyBorder="1"/>
    <xf numFmtId="9" fontId="146" fillId="0" borderId="1" xfId="344" applyNumberFormat="1" applyFont="1" applyFill="1" applyBorder="1"/>
    <xf numFmtId="0" fontId="9" fillId="0" borderId="0" xfId="344" applyFill="1"/>
    <xf numFmtId="0" fontId="83" fillId="0" borderId="0" xfId="344" applyFont="1" applyFill="1"/>
    <xf numFmtId="0" fontId="9" fillId="0" borderId="0" xfId="344" applyFont="1" applyFill="1"/>
    <xf numFmtId="0" fontId="12" fillId="0" borderId="0" xfId="344" applyFont="1" applyFill="1"/>
    <xf numFmtId="0" fontId="9" fillId="0" borderId="1" xfId="344" applyFont="1" applyFill="1" applyBorder="1"/>
    <xf numFmtId="3" fontId="9" fillId="0" borderId="1" xfId="344" applyNumberFormat="1" applyFont="1" applyFill="1" applyBorder="1"/>
    <xf numFmtId="0" fontId="9" fillId="0" borderId="1" xfId="344" applyFont="1" applyFill="1" applyBorder="1" applyAlignment="1">
      <alignment horizontal="right"/>
    </xf>
    <xf numFmtId="3" fontId="0" fillId="0" borderId="0" xfId="0" applyNumberFormat="1" applyFill="1"/>
    <xf numFmtId="3" fontId="146" fillId="0" borderId="1" xfId="344" applyNumberFormat="1" applyFont="1" applyFill="1" applyBorder="1"/>
    <xf numFmtId="0" fontId="146" fillId="0" borderId="0" xfId="344" applyFont="1" applyFill="1"/>
    <xf numFmtId="0" fontId="84" fillId="0" borderId="1" xfId="344" applyFont="1" applyFill="1" applyBorder="1"/>
    <xf numFmtId="4" fontId="146" fillId="0" borderId="1" xfId="344" applyNumberFormat="1" applyFont="1" applyFill="1" applyBorder="1" applyAlignment="1">
      <alignment horizontal="center" vertical="center" wrapText="1"/>
    </xf>
    <xf numFmtId="4" fontId="131" fillId="0" borderId="1" xfId="344" applyNumberFormat="1" applyFont="1" applyFill="1" applyBorder="1" applyAlignment="1">
      <alignment horizontal="center" vertical="center" wrapText="1"/>
    </xf>
    <xf numFmtId="4" fontId="9" fillId="0" borderId="1" xfId="344" applyNumberFormat="1" applyFont="1" applyFill="1" applyBorder="1"/>
    <xf numFmtId="4" fontId="146" fillId="0" borderId="1" xfId="344" applyNumberFormat="1" applyFont="1" applyFill="1" applyBorder="1"/>
    <xf numFmtId="0" fontId="165" fillId="0" borderId="1" xfId="344" applyFont="1" applyFill="1" applyBorder="1" applyAlignment="1">
      <alignment horizontal="center" vertical="center" wrapText="1"/>
    </xf>
    <xf numFmtId="4" fontId="165" fillId="0" borderId="1" xfId="344" applyNumberFormat="1" applyFont="1" applyFill="1" applyBorder="1" applyAlignment="1">
      <alignment horizontal="center"/>
    </xf>
    <xf numFmtId="0" fontId="166" fillId="0" borderId="0" xfId="604" applyFont="1" applyFill="1"/>
    <xf numFmtId="0" fontId="167" fillId="0" borderId="0" xfId="604" applyFont="1" applyFill="1"/>
    <xf numFmtId="0" fontId="2" fillId="0" borderId="1" xfId="604" applyFill="1" applyBorder="1" applyAlignment="1">
      <alignment horizontal="center" vertical="top" wrapText="1"/>
    </xf>
    <xf numFmtId="10" fontId="0" fillId="0" borderId="1" xfId="605" applyNumberFormat="1" applyFont="1" applyFill="1" applyBorder="1" applyAlignment="1">
      <alignment horizontal="center" vertical="top" wrapText="1"/>
    </xf>
    <xf numFmtId="0" fontId="131" fillId="0" borderId="1" xfId="604" applyFont="1" applyFill="1" applyBorder="1" applyAlignment="1">
      <alignment horizontal="center" vertical="top" wrapText="1"/>
    </xf>
    <xf numFmtId="4" fontId="131" fillId="0" borderId="1" xfId="604" applyNumberFormat="1" applyFont="1" applyFill="1" applyBorder="1" applyAlignment="1">
      <alignment horizontal="center" vertical="top" wrapText="1"/>
    </xf>
    <xf numFmtId="0" fontId="2" fillId="0" borderId="1" xfId="604" applyFill="1" applyBorder="1" applyAlignment="1">
      <alignment horizontal="center" vertical="center" wrapText="1"/>
    </xf>
    <xf numFmtId="10" fontId="9" fillId="0" borderId="1" xfId="605" applyNumberFormat="1" applyFont="1" applyFill="1" applyBorder="1" applyAlignment="1">
      <alignment horizontal="center" vertical="top" wrapText="1"/>
    </xf>
    <xf numFmtId="4" fontId="2" fillId="0" borderId="1" xfId="604" applyNumberFormat="1" applyFill="1" applyBorder="1" applyAlignment="1">
      <alignment horizontal="center" vertical="center" wrapText="1"/>
    </xf>
    <xf numFmtId="0" fontId="150" fillId="0" borderId="0" xfId="604" applyFont="1" applyFill="1"/>
    <xf numFmtId="0" fontId="158" fillId="0" borderId="1" xfId="604" applyFont="1" applyFill="1" applyBorder="1" applyAlignment="1">
      <alignment horizontal="center" vertical="center" wrapText="1"/>
    </xf>
    <xf numFmtId="0" fontId="168" fillId="0" borderId="0" xfId="604" applyFont="1" applyFill="1"/>
    <xf numFmtId="3" fontId="158" fillId="0" borderId="1" xfId="604" applyNumberFormat="1" applyFont="1" applyFill="1" applyBorder="1"/>
    <xf numFmtId="3" fontId="132" fillId="0" borderId="1" xfId="604" applyNumberFormat="1" applyFont="1" applyFill="1" applyBorder="1"/>
    <xf numFmtId="0" fontId="132" fillId="0" borderId="0" xfId="604" applyFont="1" applyFill="1"/>
    <xf numFmtId="3" fontId="158" fillId="0" borderId="21" xfId="604" applyNumberFormat="1" applyFont="1" applyFill="1" applyBorder="1"/>
    <xf numFmtId="3" fontId="158" fillId="0" borderId="29" xfId="604" applyNumberFormat="1" applyFont="1" applyFill="1" applyBorder="1"/>
    <xf numFmtId="3" fontId="132" fillId="0" borderId="29" xfId="604" applyNumberFormat="1" applyFont="1" applyFill="1" applyBorder="1"/>
    <xf numFmtId="3" fontId="132" fillId="0" borderId="8" xfId="604" applyNumberFormat="1" applyFont="1" applyFill="1" applyBorder="1"/>
    <xf numFmtId="0" fontId="170" fillId="0" borderId="1" xfId="604" applyFont="1" applyFill="1" applyBorder="1" applyAlignment="1">
      <alignment horizontal="center" vertical="center"/>
    </xf>
    <xf numFmtId="0" fontId="170" fillId="0" borderId="1" xfId="604" applyFont="1" applyFill="1" applyBorder="1" applyAlignment="1">
      <alignment horizontal="center" vertical="center" wrapText="1"/>
    </xf>
    <xf numFmtId="0" fontId="132" fillId="0" borderId="1" xfId="604" applyFont="1" applyFill="1" applyBorder="1" applyAlignment="1">
      <alignment horizontal="center" vertical="center" wrapText="1"/>
    </xf>
    <xf numFmtId="0" fontId="132" fillId="0" borderId="1" xfId="604" applyFont="1" applyFill="1" applyBorder="1" applyAlignment="1">
      <alignment wrapText="1"/>
    </xf>
    <xf numFmtId="165" fontId="13" fillId="46" borderId="34" xfId="3" applyFont="1" applyFill="1" applyBorder="1"/>
    <xf numFmtId="165" fontId="13" fillId="46" borderId="28" xfId="3" applyFont="1" applyFill="1" applyBorder="1"/>
    <xf numFmtId="165" fontId="16" fillId="46" borderId="29" xfId="3" applyFont="1" applyFill="1" applyBorder="1"/>
    <xf numFmtId="165" fontId="13" fillId="46" borderId="5" xfId="3" applyFont="1" applyFill="1" applyBorder="1"/>
    <xf numFmtId="165" fontId="13" fillId="46" borderId="16" xfId="3" applyFont="1" applyFill="1" applyBorder="1"/>
    <xf numFmtId="165" fontId="16" fillId="46" borderId="8" xfId="3" applyFont="1" applyFill="1" applyBorder="1"/>
    <xf numFmtId="165" fontId="16" fillId="46" borderId="5" xfId="3" applyFont="1" applyFill="1" applyBorder="1"/>
    <xf numFmtId="165" fontId="18" fillId="46" borderId="8" xfId="3" applyFont="1" applyFill="1" applyBorder="1"/>
    <xf numFmtId="165" fontId="13" fillId="46" borderId="25" xfId="3" applyFont="1" applyFill="1" applyBorder="1"/>
    <xf numFmtId="165" fontId="13" fillId="46" borderId="6" xfId="3" applyFont="1" applyFill="1" applyBorder="1"/>
    <xf numFmtId="165" fontId="160" fillId="46" borderId="25" xfId="3" applyFont="1" applyFill="1" applyBorder="1"/>
    <xf numFmtId="165" fontId="11" fillId="46" borderId="16" xfId="3" applyFont="1" applyFill="1" applyBorder="1"/>
    <xf numFmtId="165" fontId="161" fillId="46" borderId="29" xfId="3" applyFont="1" applyFill="1" applyBorder="1"/>
    <xf numFmtId="165" fontId="12" fillId="46" borderId="29" xfId="3" applyFont="1" applyFill="1" applyBorder="1"/>
    <xf numFmtId="165" fontId="12" fillId="46" borderId="8" xfId="3" applyFont="1" applyFill="1" applyBorder="1"/>
    <xf numFmtId="165" fontId="9" fillId="46" borderId="5" xfId="0" applyNumberFormat="1" applyFont="1" applyFill="1" applyBorder="1"/>
    <xf numFmtId="43" fontId="9" fillId="46" borderId="1" xfId="0" applyNumberFormat="1" applyFont="1" applyFill="1" applyBorder="1"/>
    <xf numFmtId="4" fontId="9" fillId="46" borderId="1" xfId="0" applyNumberFormat="1" applyFont="1" applyFill="1" applyBorder="1"/>
    <xf numFmtId="4" fontId="12" fillId="46" borderId="1" xfId="0" applyNumberFormat="1" applyFont="1" applyFill="1" applyBorder="1"/>
    <xf numFmtId="172" fontId="84" fillId="46" borderId="1" xfId="0" applyNumberFormat="1" applyFont="1" applyFill="1" applyBorder="1"/>
    <xf numFmtId="172" fontId="133" fillId="46" borderId="1" xfId="0" applyNumberFormat="1" applyFont="1" applyFill="1" applyBorder="1"/>
    <xf numFmtId="172" fontId="82" fillId="46" borderId="1" xfId="0" applyNumberFormat="1" applyFont="1" applyFill="1" applyBorder="1"/>
    <xf numFmtId="168" fontId="82" fillId="46" borderId="18" xfId="0" applyNumberFormat="1" applyFont="1" applyFill="1" applyBorder="1" applyAlignment="1">
      <alignment horizontal="center"/>
    </xf>
    <xf numFmtId="165" fontId="0" fillId="46" borderId="8" xfId="3" applyFont="1" applyFill="1" applyBorder="1"/>
    <xf numFmtId="165" fontId="12" fillId="46" borderId="3" xfId="0" applyNumberFormat="1" applyFont="1" applyFill="1" applyBorder="1"/>
    <xf numFmtId="164" fontId="161" fillId="46" borderId="35" xfId="3" applyNumberFormat="1" applyFont="1" applyFill="1" applyBorder="1"/>
    <xf numFmtId="165" fontId="9" fillId="46" borderId="26" xfId="0" applyNumberFormat="1" applyFont="1" applyFill="1" applyBorder="1"/>
    <xf numFmtId="3" fontId="158" fillId="46" borderId="1" xfId="604" applyNumberFormat="1" applyFont="1" applyFill="1" applyBorder="1"/>
    <xf numFmtId="3" fontId="132" fillId="46" borderId="1" xfId="604" applyNumberFormat="1" applyFont="1" applyFill="1" applyBorder="1"/>
    <xf numFmtId="4" fontId="132" fillId="46" borderId="1" xfId="604" applyNumberFormat="1" applyFont="1" applyFill="1" applyBorder="1"/>
    <xf numFmtId="3" fontId="170" fillId="46" borderId="1" xfId="604" applyNumberFormat="1" applyFont="1" applyFill="1" applyBorder="1" applyAlignment="1">
      <alignment horizontal="center" vertical="center"/>
    </xf>
    <xf numFmtId="171" fontId="132" fillId="46" borderId="1" xfId="6" applyNumberFormat="1" applyFont="1" applyFill="1" applyBorder="1" applyAlignment="1">
      <alignment horizontal="center" vertical="center"/>
    </xf>
    <xf numFmtId="10" fontId="132" fillId="46" borderId="1" xfId="6" applyNumberFormat="1" applyFont="1" applyFill="1" applyBorder="1" applyAlignment="1">
      <alignment horizontal="center" vertical="center"/>
    </xf>
    <xf numFmtId="171" fontId="132" fillId="46" borderId="1" xfId="604" applyNumberFormat="1" applyFont="1" applyFill="1" applyBorder="1" applyAlignment="1">
      <alignment horizontal="center" vertical="center"/>
    </xf>
    <xf numFmtId="10" fontId="132" fillId="46" borderId="1" xfId="604" applyNumberFormat="1" applyFont="1" applyFill="1" applyBorder="1" applyAlignment="1">
      <alignment horizontal="center" vertical="center"/>
    </xf>
    <xf numFmtId="171" fontId="132" fillId="46" borderId="1" xfId="604" applyNumberFormat="1" applyFont="1" applyFill="1" applyBorder="1" applyAlignment="1">
      <alignment wrapText="1"/>
    </xf>
    <xf numFmtId="171" fontId="170" fillId="46" borderId="1" xfId="604" applyNumberFormat="1" applyFont="1" applyFill="1" applyBorder="1" applyAlignment="1">
      <alignment horizontal="center" vertical="center" wrapText="1"/>
    </xf>
    <xf numFmtId="10" fontId="160" fillId="46" borderId="1" xfId="6" applyNumberFormat="1" applyFont="1" applyFill="1" applyBorder="1"/>
    <xf numFmtId="171" fontId="133" fillId="46" borderId="1" xfId="6" applyNumberFormat="1" applyFont="1" applyFill="1" applyBorder="1" applyAlignment="1">
      <alignment horizontal="center" vertical="center"/>
    </xf>
    <xf numFmtId="4" fontId="9" fillId="46" borderId="1" xfId="3" applyNumberFormat="1" applyFont="1" applyFill="1" applyBorder="1" applyAlignment="1">
      <alignment wrapText="1"/>
    </xf>
    <xf numFmtId="165" fontId="11" fillId="46" borderId="19" xfId="3" applyFont="1" applyFill="1" applyBorder="1"/>
    <xf numFmtId="165" fontId="12" fillId="46" borderId="4" xfId="3" applyFont="1" applyFill="1" applyBorder="1"/>
    <xf numFmtId="165" fontId="9" fillId="46" borderId="1" xfId="0" applyNumberFormat="1" applyFont="1" applyFill="1" applyBorder="1"/>
    <xf numFmtId="165" fontId="0" fillId="46" borderId="23" xfId="3" applyFont="1" applyFill="1" applyBorder="1"/>
    <xf numFmtId="165" fontId="12" fillId="46" borderId="1" xfId="0" applyNumberFormat="1" applyFont="1" applyFill="1" applyBorder="1" applyAlignment="1">
      <alignment horizontal="center" vertical="center" wrapText="1"/>
    </xf>
    <xf numFmtId="165" fontId="12" fillId="46" borderId="1" xfId="3" applyFont="1" applyFill="1" applyBorder="1"/>
    <xf numFmtId="3" fontId="9" fillId="46" borderId="1" xfId="605" applyNumberFormat="1" applyFont="1" applyFill="1" applyBorder="1" applyAlignment="1">
      <alignment horizontal="center" vertical="top" wrapText="1"/>
    </xf>
    <xf numFmtId="3" fontId="9" fillId="46" borderId="1" xfId="344" applyNumberFormat="1" applyFont="1" applyFill="1" applyBorder="1"/>
    <xf numFmtId="3" fontId="146" fillId="46" borderId="1" xfId="344" applyNumberFormat="1" applyFont="1" applyFill="1" applyBorder="1"/>
    <xf numFmtId="0" fontId="9" fillId="46" borderId="1" xfId="344" applyFont="1" applyFill="1" applyBorder="1"/>
    <xf numFmtId="0" fontId="84" fillId="46" borderId="1" xfId="344" applyFont="1" applyFill="1" applyBorder="1"/>
    <xf numFmtId="4" fontId="146" fillId="46" borderId="1" xfId="344" applyNumberFormat="1" applyFont="1" applyFill="1" applyBorder="1"/>
    <xf numFmtId="4" fontId="165" fillId="46" borderId="1" xfId="344" applyNumberFormat="1" applyFont="1" applyFill="1" applyBorder="1" applyAlignment="1">
      <alignment horizontal="center"/>
    </xf>
    <xf numFmtId="4" fontId="9" fillId="46" borderId="1" xfId="0" applyNumberFormat="1" applyFont="1" applyFill="1" applyBorder="1" applyAlignment="1">
      <alignment wrapText="1"/>
    </xf>
    <xf numFmtId="4" fontId="9" fillId="46" borderId="1" xfId="3" applyNumberFormat="1" applyFont="1" applyFill="1" applyBorder="1"/>
    <xf numFmtId="0" fontId="149" fillId="0" borderId="0" xfId="604" applyFont="1" applyFill="1" applyAlignment="1">
      <alignment horizontal="center" vertical="top" wrapText="1"/>
    </xf>
    <xf numFmtId="0" fontId="148" fillId="0" borderId="0" xfId="604" applyFont="1" applyFill="1" applyAlignment="1">
      <alignment horizontal="center" vertical="top" wrapText="1"/>
    </xf>
  </cellXfs>
  <cellStyles count="645">
    <cellStyle name=" Task]_x000d__x000a_TaskName=Scan At_x000d__x000a_TaskID=3_x000d__x000a_WorkstationName=SmarTone_x000d__x000a_LastExecuted=0_x000d__x000a_LastSt" xfId="520"/>
    <cellStyle name="_x000a_shell=progma 2" xfId="10"/>
    <cellStyle name="#" xfId="11"/>
    <cellStyle name="%" xfId="12"/>
    <cellStyle name="%_00 Costos Plataforma de Pago" xfId="606"/>
    <cellStyle name="%_00 Costos Plataforma de Pago 2" xfId="607"/>
    <cellStyle name="%_00 Costos Plataforma de Pago 3" xfId="608"/>
    <cellStyle name="%_161147 HABER AB08" xfId="13"/>
    <cellStyle name="%_Actas_Val_Fin_AM_Octubre_2008" xfId="14"/>
    <cellStyle name="%_Actas_Val_Fin_MLC_Diciembre_2007" xfId="15"/>
    <cellStyle name="%_Actas_Val_Fin_Nextel_Agosto_2008" xfId="16"/>
    <cellStyle name="%_Actas_Val_Fin_Nextel_Fija_Abril_2008" xfId="17"/>
    <cellStyle name="%_Actas_Val_Fin_Nextel_Fija_Enero_2008" xfId="18"/>
    <cellStyle name="%_Actas_Val_Fin_Nextel_Fija_Junio_2008" xfId="19"/>
    <cellStyle name="%_Actas_Val_Fin_Nextel_Fija_Octubre_2008" xfId="20"/>
    <cellStyle name="%_Actas_Val_Fin_Nextel_Fija_Setiembre_2008" xfId="21"/>
    <cellStyle name="%_Actas_Val_Fin_Nextel_Julio_2008" xfId="22"/>
    <cellStyle name="%_Actas_Val_Fin_Nextel_Junio_2008" xfId="23"/>
    <cellStyle name="%_Actas_Val_Fin_Nextel_Mayo_2008" xfId="24"/>
    <cellStyle name="%_Actas_Val_Fin_TSM_Febrero_2008" xfId="25"/>
    <cellStyle name="%_Actas_Val_Prel_AM_Julio_2008" xfId="26"/>
    <cellStyle name="%_Actas_Val_Prel_AM_Setiembre_2008" xfId="27"/>
    <cellStyle name="%_Actas_Val_Prel_Nextel_Abril_2008" xfId="28"/>
    <cellStyle name="%_Actas_Val_Prel_Nextel_Agosto_2008" xfId="29"/>
    <cellStyle name="%_Actas_Val_Prel_Nextel_Julio_2008" xfId="30"/>
    <cellStyle name="%_Actas_Val_Prel_Nextel_Octubre_2007" xfId="31"/>
    <cellStyle name="%_Actas_Val_Prel_Nextel_Octubre_2008" xfId="32"/>
    <cellStyle name="%_Actas_Val_Prel_Nextel_Setiembre_2008" xfId="33"/>
    <cellStyle name="%_Actas_Val_Prel_Tim_Noviembre_2007" xfId="34"/>
    <cellStyle name="%_Actas_Val_Prel_Tim_Octubre_2007" xfId="35"/>
    <cellStyle name="%_Analisis de escenarios Area Virtual Movil" xfId="521"/>
    <cellStyle name="%_Datos_Costos_Plataforma_Prepago_2010 v2" xfId="609"/>
    <cellStyle name="(4) STM-1 (LECT)_x000d__x000a_PL-4579-M-039-99_x000d__x000a_FALTA APE" xfId="36"/>
    <cellStyle name="(4) STM-1 (LECT)_x000d__x000a_PL-4579-M-039-99_x000d__x000a_FALTA APE 2" xfId="522"/>
    <cellStyle name="*MB Hardwired" xfId="37"/>
    <cellStyle name="*MB Input Table Calc" xfId="38"/>
    <cellStyle name="*MB Normal" xfId="39"/>
    <cellStyle name="*MB Placeholder" xfId="40"/>
    <cellStyle name="???" xfId="41"/>
    <cellStyle name="??_1951_0006" xfId="523"/>
    <cellStyle name="_0 - 3G Spain BOM Summary" xfId="42"/>
    <cellStyle name="_02 Network elements" xfId="524"/>
    <cellStyle name="_02 Network elements_00 Costos Plataforma de Pago" xfId="610"/>
    <cellStyle name="_02 Network elements_00 Costos Plataforma de Pago 2" xfId="611"/>
    <cellStyle name="_02 Network elements_00 Costos Plataforma de Pago 3" xfId="612"/>
    <cellStyle name="_02 Network elements_Datos_Costos_Plataforma_Prepago_2010 v2" xfId="613"/>
    <cellStyle name="_1xRTT 3rd Carrier B-Form V.02 221102" xfId="43"/>
    <cellStyle name="_ADICIONALES Rev FA (2)" xfId="44"/>
    <cellStyle name="_Anexo 16.7.2 Planilha de Preços Unitários Rede GSM  Darw" xfId="45"/>
    <cellStyle name="_Anexo 16.7.2 Planilha de Preços Unitários Rede GSM  Darw_00 Costos Plataforma de Pago" xfId="614"/>
    <cellStyle name="_Anexo 16.7.2 Planilha de Preços Unitários Rede GSM  Darw_00 Costos Plataforma de Pago 2" xfId="615"/>
    <cellStyle name="_Anexo 16.7.2 Planilha de Preços Unitários Rede GSM  Darw_00 Costos Plataforma de Pago 3" xfId="616"/>
    <cellStyle name="_Anexo 16.7.2 Planilha de Preços Unitários Rede GSM  Darw_Datos_Costos_Plataforma_Prepago_2010 v2" xfId="617"/>
    <cellStyle name="_Atención a Terceros" xfId="488"/>
    <cellStyle name="_Bonos 2008 (Bono por cartera)" xfId="489"/>
    <cellStyle name="_BTS comp and discount structure V.11" xfId="46"/>
    <cellStyle name="_BTS comp and discount structure V.11_00 Costos Plataforma de Pago" xfId="618"/>
    <cellStyle name="_BTS comp and discount structure V.11_00 Costos Plataforma de Pago 2" xfId="619"/>
    <cellStyle name="_BTS comp and discount structure V.11_00 Costos Plataforma de Pago 3" xfId="620"/>
    <cellStyle name="_BTS comp and discount structure V.11_Datos_Costos_Plataforma_Prepago_2010 v2" xfId="621"/>
    <cellStyle name="_BTS EQUIPOS + TI (4)" xfId="525"/>
    <cellStyle name="_CAL CE041 01 06 REV B OA" xfId="47"/>
    <cellStyle name="_CAL CE041 03 06 OE" xfId="48"/>
    <cellStyle name="_CCPPs_General" xfId="49"/>
    <cellStyle name="_CCPPs_General_I. T. Fija 1" xfId="50"/>
    <cellStyle name="_Cimentación Torre 16set29" xfId="51"/>
    <cellStyle name="_Clientes_Tráfico_voz_Tráfico_datos (3)" xfId="52"/>
    <cellStyle name="_Cobertura Fija IV trim" xfId="53"/>
    <cellStyle name="_Cobertura Móvil" xfId="54"/>
    <cellStyle name="_Cobertura Telefonía Móvil" xfId="55"/>
    <cellStyle name="_Comcel Phase 5 B-Form" xfId="56"/>
    <cellStyle name="_control de obras 30 01 07" xfId="57"/>
    <cellStyle name="_CRONO NUEVO SOMBRA_7" xfId="58"/>
    <cellStyle name="_Cronograma sombra azul por semana Abril Mayo Rev 2" xfId="59"/>
    <cellStyle name="_CUOTA ANUAL 2008 FINAL 02.04.2009" xfId="60"/>
    <cellStyle name="_Detalle de Gastos (PXQ)-2008 version 4" xfId="490"/>
    <cellStyle name="_Enviado a comercial 180806 -  Preciario CW -" xfId="61"/>
    <cellStyle name="_EQList Data Backbone PP15K-7K 100603 w COSTS" xfId="62"/>
    <cellStyle name="_EQList Data Backbone PP15K-7K 100603 w COSTS_00 Costos Plataforma de Pago" xfId="622"/>
    <cellStyle name="_EQList Data Backbone PP15K-7K 100603 w COSTS_00 Costos Plataforma de Pago 2" xfId="623"/>
    <cellStyle name="_EQList Data Backbone PP15K-7K 100603 w COSTS_00 Costos Plataforma de Pago 3" xfId="624"/>
    <cellStyle name="_EQList Data Backbone PP15K-7K 100603 w COSTS_Datos_Costos_Plataforma_Prepago_2010 v2" xfId="625"/>
    <cellStyle name="_EQList TdP OM4150 100603 - w COSTS" xfId="63"/>
    <cellStyle name="_EQList TdP OM4150 100603 - w COSTS_00 Costos Plataforma de Pago" xfId="626"/>
    <cellStyle name="_EQList TdP OM4150 100603 - w COSTS_00 Costos Plataforma de Pago 2" xfId="627"/>
    <cellStyle name="_EQList TdP OM4150 100603 - w COSTS_00 Costos Plataforma de Pago 3" xfId="628"/>
    <cellStyle name="_EQList TdP OM4150 100603 - w COSTS_Datos_Costos_Plataforma_Prepago_2010 v2" xfId="629"/>
    <cellStyle name="_Estaciones 2007 con coordenadas" xfId="64"/>
    <cellStyle name="_ESTADO AL  111006" xfId="65"/>
    <cellStyle name="_Estudio de Radioenlaces" xfId="66"/>
    <cellStyle name="_FICHAS_ENTREGADAS_EN SEP-DIC" xfId="67"/>
    <cellStyle name="_Global Comps - Full Service - 12 Jan  2001" xfId="526"/>
    <cellStyle name="_Global Comps - Full Service - 12 Jan  2001_Analisis de escenarios Area Virtual Movil" xfId="527"/>
    <cellStyle name="_Global Comps - Full Service - 18 June 2001" xfId="528"/>
    <cellStyle name="_Global Comps - Full Service - 18 June 2001_Analisis de escenarios Area Virtual Movil" xfId="529"/>
    <cellStyle name="_Global Comps - Full Service - 20 June 2001" xfId="530"/>
    <cellStyle name="_Global Comps - Full Service - 20 June 2001_Analisis de escenarios Area Virtual Movil" xfId="531"/>
    <cellStyle name="_Hoja1" xfId="68"/>
    <cellStyle name="_Hoja1_1" xfId="69"/>
    <cellStyle name="_Hoja1_2" xfId="70"/>
    <cellStyle name="_Hoja2" xfId="71"/>
    <cellStyle name="_Hoja3" xfId="72"/>
    <cellStyle name="_Hoja3_1" xfId="73"/>
    <cellStyle name="_Hoja3_Hoja1" xfId="74"/>
    <cellStyle name="_Hoja3_Hoja8" xfId="75"/>
    <cellStyle name="_Hoja4" xfId="76"/>
    <cellStyle name="_Hoja5" xfId="77"/>
    <cellStyle name="_Hoja8" xfId="78"/>
    <cellStyle name="_Hoja8_1" xfId="79"/>
    <cellStyle name="_Huawei Local Service Summary Table" xfId="80"/>
    <cellStyle name="_I Trim 2009" xfId="81"/>
    <cellStyle name="_I Trimestre" xfId="82"/>
    <cellStyle name="_I. T. Fija 1" xfId="83"/>
    <cellStyle name="_II Trimestre" xfId="84"/>
    <cellStyle name="_III Trimestre" xfId="85"/>
    <cellStyle name="_Info BS 050307" xfId="86"/>
    <cellStyle name="_IV Trimestre" xfId="87"/>
    <cellStyle name="_Leadcom Target" xfId="88"/>
    <cellStyle name="_Leadcoml_NOKIA BSS PACKTargets_June2005" xfId="89"/>
    <cellStyle name="_Libro1" xfId="90"/>
    <cellStyle name="_Libro2" xfId="91"/>
    <cellStyle name="_Libro6" xfId="491"/>
    <cellStyle name="_Lima y callao" xfId="92"/>
    <cellStyle name="_Listado REPs considerados" xfId="93"/>
    <cellStyle name="_MCIT" xfId="532"/>
    <cellStyle name="_MCIT_Analisis de escenarios Area Virtual Movil" xfId="533"/>
    <cellStyle name="_New WCOM" xfId="534"/>
    <cellStyle name="_New WCOM_Analisis de escenarios Area Virtual Movil" xfId="535"/>
    <cellStyle name="_Pagos por Concesión" xfId="94"/>
    <cellStyle name="_Plan2007" xfId="95"/>
    <cellStyle name="_PO 2007 Trabajo_15_02_07_copy" xfId="96"/>
    <cellStyle name="_PROYECTOS_SOMBRA_AZUL" xfId="97"/>
    <cellStyle name="_Reclamos" xfId="98"/>
    <cellStyle name="_Resumen Provincias Telefonica (2-SPM) v3" xfId="99"/>
    <cellStyle name="_Resumen Provincias Telefonica v2" xfId="100"/>
    <cellStyle name="_SERVICIO MÓVIL Y CABLE" xfId="101"/>
    <cellStyle name="_SITE_TOTAL" xfId="102"/>
    <cellStyle name="_Sombra_azul_2006" xfId="103"/>
    <cellStyle name="_Status de Implementaciones 13-09-06" xfId="104"/>
    <cellStyle name="_Torre 30 m- evaluado 120-2-p" xfId="105"/>
    <cellStyle name="_TRÁFICO" xfId="106"/>
    <cellStyle name="_tráfico (incluye I trimestre 2009) y clientes por tecnología" xfId="107"/>
    <cellStyle name="_Valorizacion RED Modelo Costos 2010 Version Final_2" xfId="536"/>
    <cellStyle name="_Valorizacion RED Modelo Costos 2010 Version Final_2_00 Costos Plataforma de Pago" xfId="630"/>
    <cellStyle name="_Valorizacion RED Modelo Costos 2010 Version Final_2_00 Costos Plataforma de Pago 2" xfId="631"/>
    <cellStyle name="_Valorizacion RED Modelo Costos 2010 Version Final_2_00 Costos Plataforma de Pago 3" xfId="632"/>
    <cellStyle name="_Valorizacion RED Modelo Costos 2010 Version Final_2_Datos_Costos_Plataforma_Prepago_2010 v2" xfId="633"/>
    <cellStyle name="_Valorizacion RED Modelo Costos 2010 Version Final_4 Revisada" xfId="537"/>
    <cellStyle name="_Valorizacion RED Modelo Costos 2010 Version Final_4 Revisada_00 Costos Plataforma de Pago" xfId="634"/>
    <cellStyle name="_Valorizacion RED Modelo Costos 2010 Version Final_4 Revisada_00 Costos Plataforma de Pago 2" xfId="635"/>
    <cellStyle name="_Valorizacion RED Modelo Costos 2010 Version Final_4 Revisada_00 Costos Plataforma de Pago 3" xfId="636"/>
    <cellStyle name="_Valorizacion RED Modelo Costos 2010 Version Final_4 Revisada_Datos_Costos_Plataforma_Prepago_2010 v2" xfId="637"/>
    <cellStyle name="_Verificación PO2007_FINAL" xfId="108"/>
    <cellStyle name="_VNTModellastestimates" xfId="538"/>
    <cellStyle name="_VNTModellastestimates_Analisis de escenarios Area Virtual Movil" xfId="539"/>
    <cellStyle name="=C:\WINDOWS\SYSTEM32\COMMAND.COM" xfId="109"/>
    <cellStyle name="=C:\WINNT\SYSTEM32\COMMAND.COM" xfId="540"/>
    <cellStyle name="=C:\WINNT35\SYSTEM32\COMMAND.COM" xfId="110"/>
    <cellStyle name="=C:\WINNT35\SYSTEM32\COMMAND.COM 3" xfId="111"/>
    <cellStyle name="•W_laroux" xfId="112"/>
    <cellStyle name="0,0_x000d__x000a_NA_x000d__x000a_" xfId="113"/>
    <cellStyle name="0000" xfId="114"/>
    <cellStyle name="000000" xfId="115"/>
    <cellStyle name="0UserFill" xfId="116"/>
    <cellStyle name="1" xfId="117"/>
    <cellStyle name="20% - Accent1" xfId="118"/>
    <cellStyle name="20% - Accent2" xfId="119"/>
    <cellStyle name="20% - Accent3" xfId="120"/>
    <cellStyle name="20% - Accent4" xfId="121"/>
    <cellStyle name="20% - Accent5" xfId="122"/>
    <cellStyle name="20% - Accent6" xfId="123"/>
    <cellStyle name="40% - Accent1" xfId="124"/>
    <cellStyle name="40% - Accent2" xfId="125"/>
    <cellStyle name="40% - Accent3" xfId="126"/>
    <cellStyle name="40% - Accent4" xfId="127"/>
    <cellStyle name="40% - Accent5" xfId="128"/>
    <cellStyle name="40% - Accent6" xfId="129"/>
    <cellStyle name="40% - Énfasis3 2" xfId="130"/>
    <cellStyle name="571" xfId="131"/>
    <cellStyle name="60% - Accent1" xfId="132"/>
    <cellStyle name="60% - Accent2" xfId="133"/>
    <cellStyle name="60% - Accent3" xfId="134"/>
    <cellStyle name="60% - Accent4" xfId="135"/>
    <cellStyle name="60% - Accent5" xfId="136"/>
    <cellStyle name="60% - Accent6" xfId="137"/>
    <cellStyle name="6mal" xfId="541"/>
    <cellStyle name="Accent1" xfId="138"/>
    <cellStyle name="Accent2" xfId="139"/>
    <cellStyle name="Accent3" xfId="140"/>
    <cellStyle name="Accent4" xfId="141"/>
    <cellStyle name="Accent5" xfId="142"/>
    <cellStyle name="Accent6" xfId="143"/>
    <cellStyle name="Actual Date" xfId="144"/>
    <cellStyle name="AFE" xfId="542"/>
    <cellStyle name="Año" xfId="492"/>
    <cellStyle name="args.style" xfId="145"/>
    <cellStyle name="Assumption" xfId="146"/>
    <cellStyle name="auf tausender" xfId="543"/>
    <cellStyle name="axlcolour" xfId="147"/>
    <cellStyle name="Bad" xfId="148"/>
    <cellStyle name="Billions" xfId="544"/>
    <cellStyle name="blank" xfId="149"/>
    <cellStyle name="Blue Heading" xfId="150"/>
    <cellStyle name="Board Level" xfId="151"/>
    <cellStyle name="BvDAddIn_Currency" xfId="545"/>
    <cellStyle name="Cabecera 1" xfId="152"/>
    <cellStyle name="Cabecera 2" xfId="153"/>
    <cellStyle name="Calc" xfId="154"/>
    <cellStyle name="Calc Currency (0)" xfId="155"/>
    <cellStyle name="Calc Currency (2)" xfId="156"/>
    <cellStyle name="Calc Percent (0)" xfId="157"/>
    <cellStyle name="Calc Percent (1)" xfId="158"/>
    <cellStyle name="Calc Percent (2)" xfId="159"/>
    <cellStyle name="Calc Units (0)" xfId="160"/>
    <cellStyle name="Calc Units (1)" xfId="161"/>
    <cellStyle name="Calc Units (2)" xfId="162"/>
    <cellStyle name="Calculation" xfId="163"/>
    <cellStyle name="Cancel" xfId="164"/>
    <cellStyle name="category" xfId="165"/>
    <cellStyle name="Check" xfId="166"/>
    <cellStyle name="Check Cell" xfId="167"/>
    <cellStyle name="Checksum" xfId="168"/>
    <cellStyle name="Code" xfId="169"/>
    <cellStyle name="Col_heading" xfId="170"/>
    <cellStyle name="Column Heading" xfId="171"/>
    <cellStyle name="Column Heading (No Wrap)" xfId="172"/>
    <cellStyle name="Column Heading_Demand Summary" xfId="173"/>
    <cellStyle name="Column label" xfId="174"/>
    <cellStyle name="Column label (left aligned)" xfId="175"/>
    <cellStyle name="Column label (no wrap)" xfId="176"/>
    <cellStyle name="Column label (not bold)" xfId="177"/>
    <cellStyle name="Column label (Wrap)" xfId="178"/>
    <cellStyle name="Column Total" xfId="179"/>
    <cellStyle name="Column_heading" xfId="180"/>
    <cellStyle name="Column_label" xfId="1"/>
    <cellStyle name="Comma [0]" xfId="181"/>
    <cellStyle name="Comma [00]" xfId="182"/>
    <cellStyle name="Comma [2]" xfId="546"/>
    <cellStyle name="Comma 2" xfId="547"/>
    <cellStyle name="Comma 3" xfId="548"/>
    <cellStyle name="Comma.2" xfId="549"/>
    <cellStyle name="Comma_!!!GO" xfId="493"/>
    <cellStyle name="Comma0" xfId="183"/>
    <cellStyle name="Comma0 - Modelo1" xfId="184"/>
    <cellStyle name="Comma0 - Style1" xfId="185"/>
    <cellStyle name="Comma1 - Modelo2" xfId="186"/>
    <cellStyle name="Comma1 - Style2" xfId="187"/>
    <cellStyle name="Company Name" xfId="494"/>
    <cellStyle name="ContentsHyperlink" xfId="188"/>
    <cellStyle name="Copied" xfId="189"/>
    <cellStyle name="Cost_category_heading" xfId="190"/>
    <cellStyle name="COST1" xfId="191"/>
    <cellStyle name="Costs" xfId="192"/>
    <cellStyle name="Cuadro 1" xfId="495"/>
    <cellStyle name="Currency (2dp)" xfId="193"/>
    <cellStyle name="Currency [0]" xfId="194"/>
    <cellStyle name="Currency [00]" xfId="195"/>
    <cellStyle name="Currency Dollar" xfId="196"/>
    <cellStyle name="Currency Dollar (2dp)" xfId="197"/>
    <cellStyle name="Currency EUR" xfId="198"/>
    <cellStyle name="Currency EUR (2dp)" xfId="199"/>
    <cellStyle name="Currency Euro" xfId="200"/>
    <cellStyle name="Currency Euro (2dp)" xfId="201"/>
    <cellStyle name="Currency GBP" xfId="202"/>
    <cellStyle name="Currency GBP (2dp)" xfId="203"/>
    <cellStyle name="Currency Pound" xfId="204"/>
    <cellStyle name="Currency Pound (2dp)" xfId="205"/>
    <cellStyle name="Currency Thousands" xfId="550"/>
    <cellStyle name="Currency USD" xfId="206"/>
    <cellStyle name="Currency USD (2dp)" xfId="207"/>
    <cellStyle name="Currency_!!!GO" xfId="496"/>
    <cellStyle name="Currency0" xfId="208"/>
    <cellStyle name="CustomStyle1" xfId="551"/>
    <cellStyle name="CustomStyle10" xfId="552"/>
    <cellStyle name="CustomStyle11" xfId="553"/>
    <cellStyle name="CustomStyle12" xfId="554"/>
    <cellStyle name="CustomStyle13" xfId="555"/>
    <cellStyle name="CustomStyle14" xfId="556"/>
    <cellStyle name="CustomStyle15" xfId="557"/>
    <cellStyle name="CustomStyle16" xfId="558"/>
    <cellStyle name="CustomStyle17" xfId="559"/>
    <cellStyle name="CustomStyle18" xfId="560"/>
    <cellStyle name="CustomStyle19" xfId="561"/>
    <cellStyle name="CustomStyle2" xfId="562"/>
    <cellStyle name="CustomStyle20" xfId="563"/>
    <cellStyle name="CustomStyle21" xfId="564"/>
    <cellStyle name="CustomStyle22" xfId="565"/>
    <cellStyle name="CustomStyle23" xfId="566"/>
    <cellStyle name="CustomStyle3" xfId="567"/>
    <cellStyle name="CustomStyle4" xfId="568"/>
    <cellStyle name="CustomStyle5" xfId="569"/>
    <cellStyle name="CustomStyle6" xfId="570"/>
    <cellStyle name="CustomStyle7" xfId="571"/>
    <cellStyle name="CustomStyle8" xfId="572"/>
    <cellStyle name="CustomStyle9" xfId="573"/>
    <cellStyle name="Date" xfId="209"/>
    <cellStyle name="Date (Month)" xfId="210"/>
    <cellStyle name="Date (Year)" xfId="211"/>
    <cellStyle name="Date Short" xfId="212"/>
    <cellStyle name="Date_Analisis de escenarios Area Virtual Movil" xfId="574"/>
    <cellStyle name="Description" xfId="213"/>
    <cellStyle name="Dia" xfId="214"/>
    <cellStyle name="Diseño" xfId="2"/>
    <cellStyle name="Diseño 2" xfId="215"/>
    <cellStyle name="Diseño_04. Compensación TM_TdP Abr08" xfId="216"/>
    <cellStyle name="Encabez1" xfId="217"/>
    <cellStyle name="Encabez2" xfId="218"/>
    <cellStyle name="Énfasis3 2" xfId="219"/>
    <cellStyle name="Enter Currency (0)" xfId="220"/>
    <cellStyle name="Enter Currency (2)" xfId="221"/>
    <cellStyle name="Enter Units (0)" xfId="222"/>
    <cellStyle name="Enter Units (1)" xfId="223"/>
    <cellStyle name="Enter Units (2)" xfId="224"/>
    <cellStyle name="Entered" xfId="225"/>
    <cellStyle name="Entrée" xfId="226"/>
    <cellStyle name="Estilo 1" xfId="227"/>
    <cellStyle name="Estilo 1 2" xfId="228"/>
    <cellStyle name="Estilo 2" xfId="229"/>
    <cellStyle name="Estilo 3" xfId="230"/>
    <cellStyle name="Estilo 4" xfId="231"/>
    <cellStyle name="Euro" xfId="232"/>
    <cellStyle name="Explanatory Text" xfId="233"/>
    <cellStyle name="F2" xfId="234"/>
    <cellStyle name="F3" xfId="235"/>
    <cellStyle name="F4" xfId="236"/>
    <cellStyle name="F5" xfId="237"/>
    <cellStyle name="F6" xfId="238"/>
    <cellStyle name="F7" xfId="239"/>
    <cellStyle name="F8" xfId="240"/>
    <cellStyle name="FAB level" xfId="241"/>
    <cellStyle name="FAB no" xfId="242"/>
    <cellStyle name="FAB price" xfId="243"/>
    <cellStyle name="Fecha" xfId="244"/>
    <cellStyle name="Fecha1 - Estilo1" xfId="245"/>
    <cellStyle name="Fijo" xfId="246"/>
    <cellStyle name="Finan?ní0" xfId="575"/>
    <cellStyle name="Financial_calc" xfId="247"/>
    <cellStyle name="Financiero" xfId="248"/>
    <cellStyle name="Finanční0" xfId="576"/>
    <cellStyle name="Fixed" xfId="249"/>
    <cellStyle name="Footnote" xfId="577"/>
    <cellStyle name="Good" xfId="250"/>
    <cellStyle name="Grey" xfId="251"/>
    <cellStyle name="H0" xfId="252"/>
    <cellStyle name="H1" xfId="253"/>
    <cellStyle name="H2" xfId="254"/>
    <cellStyle name="H3" xfId="255"/>
    <cellStyle name="H4" xfId="256"/>
    <cellStyle name="Header" xfId="257"/>
    <cellStyle name="Header1" xfId="258"/>
    <cellStyle name="Header2" xfId="259"/>
    <cellStyle name="Heading" xfId="260"/>
    <cellStyle name="Heading 1" xfId="261"/>
    <cellStyle name="Heading 2" xfId="262"/>
    <cellStyle name="Heading 3" xfId="263"/>
    <cellStyle name="Heading 4" xfId="264"/>
    <cellStyle name="HEADING1" xfId="265"/>
    <cellStyle name="HEADING2" xfId="266"/>
    <cellStyle name="Hidden" xfId="578"/>
    <cellStyle name="Highlight" xfId="267"/>
    <cellStyle name="Hipervínculo 2" xfId="268"/>
    <cellStyle name="Hipervínculo 3" xfId="269"/>
    <cellStyle name="Hyperlink" xfId="270"/>
    <cellStyle name="Index" xfId="271"/>
    <cellStyle name="Initial Inputs" xfId="272"/>
    <cellStyle name="InLink" xfId="579"/>
    <cellStyle name="Input" xfId="273"/>
    <cellStyle name="Input %" xfId="497"/>
    <cellStyle name="Input [yellow]" xfId="274"/>
    <cellStyle name="Input 0" xfId="498"/>
    <cellStyle name="Input 0,0" xfId="499"/>
    <cellStyle name="Input 2" xfId="8"/>
    <cellStyle name="Input calculation" xfId="275"/>
    <cellStyle name="Input Cells" xfId="276"/>
    <cellStyle name="Input data" xfId="277"/>
    <cellStyle name="Input estimate" xfId="278"/>
    <cellStyle name="Input Link" xfId="279"/>
    <cellStyle name="Input link (different workbook)" xfId="280"/>
    <cellStyle name="Input link_Demand Summary" xfId="281"/>
    <cellStyle name="Input parameter" xfId="282"/>
    <cellStyle name="Input_00 Costos Plataforma de Pago" xfId="638"/>
    <cellStyle name="InputBlueFont" xfId="283"/>
    <cellStyle name="Jun" xfId="284"/>
    <cellStyle name="Komma [0]_RESULTS" xfId="285"/>
    <cellStyle name="Komma_RESULTS" xfId="286"/>
    <cellStyle name="Link" xfId="580"/>
    <cellStyle name="Link Currency (0)" xfId="287"/>
    <cellStyle name="Link Currency (2)" xfId="288"/>
    <cellStyle name="Link Units (0)" xfId="289"/>
    <cellStyle name="Link Units (1)" xfId="290"/>
    <cellStyle name="Link Units (2)" xfId="291"/>
    <cellStyle name="Linked" xfId="292"/>
    <cellStyle name="Linked Cell" xfId="293"/>
    <cellStyle name="Linked Cells" xfId="294"/>
    <cellStyle name="Lock" xfId="581"/>
    <cellStyle name="Lock partiel" xfId="582"/>
    <cellStyle name="Logic_input" xfId="295"/>
    <cellStyle name="Main Title" xfId="296"/>
    <cellStyle name="MARQ" xfId="297"/>
    <cellStyle name="Migliaia (0)" xfId="500"/>
    <cellStyle name="Migliaia_1641SM D" xfId="298"/>
    <cellStyle name="Millares" xfId="3" builtinId="3"/>
    <cellStyle name="Millares [0] 2" xfId="639"/>
    <cellStyle name="Millares [0] 3" xfId="640"/>
    <cellStyle name="Millares 10" xfId="299"/>
    <cellStyle name="Millares 11" xfId="300"/>
    <cellStyle name="Millares 12" xfId="301"/>
    <cellStyle name="Millares 13" xfId="302"/>
    <cellStyle name="Millares 14" xfId="303"/>
    <cellStyle name="Millares 15" xfId="304"/>
    <cellStyle name="Millares 16" xfId="305"/>
    <cellStyle name="Millares 17" xfId="306"/>
    <cellStyle name="Millares 18" xfId="307"/>
    <cellStyle name="Millares 19" xfId="485"/>
    <cellStyle name="Millares 2" xfId="308"/>
    <cellStyle name="Millares 2 2" xfId="309"/>
    <cellStyle name="Millares 2 3" xfId="641"/>
    <cellStyle name="Millares 2 4" xfId="642"/>
    <cellStyle name="Millares 2_Actas_Val_Fin_AM_Octubre_2008" xfId="310"/>
    <cellStyle name="Millares 20" xfId="487"/>
    <cellStyle name="Millares 21" xfId="514"/>
    <cellStyle name="Millares 3" xfId="311"/>
    <cellStyle name="Millares 4" xfId="312"/>
    <cellStyle name="Millares 5" xfId="313"/>
    <cellStyle name="Millares 6" xfId="314"/>
    <cellStyle name="Millares 7" xfId="315"/>
    <cellStyle name="Millares 8" xfId="316"/>
    <cellStyle name="Millares 9" xfId="317"/>
    <cellStyle name="Milliers [0]_!!!GO" xfId="318"/>
    <cellStyle name="Milliers_!!!GO" xfId="319"/>
    <cellStyle name="Millions" xfId="583"/>
    <cellStyle name="Missing" xfId="320"/>
    <cellStyle name="Model" xfId="321"/>
    <cellStyle name="Moeda [0]_CUSTOSGSMinfrasites" xfId="322"/>
    <cellStyle name="Moeda_CUSTOSGSMinfrasites" xfId="323"/>
    <cellStyle name="Moneda 2" xfId="517"/>
    <cellStyle name="Monétaire [0]_!!!GO" xfId="324"/>
    <cellStyle name="Monétaire_!!!GO" xfId="325"/>
    <cellStyle name="Monetario" xfId="326"/>
    <cellStyle name="Monetario0" xfId="327"/>
    <cellStyle name="Month_input" xfId="328"/>
    <cellStyle name="Name" xfId="329"/>
    <cellStyle name="neg0.0" xfId="584"/>
    <cellStyle name="NivelCol_" xfId="330"/>
    <cellStyle name="no dec" xfId="331"/>
    <cellStyle name="No-definido" xfId="332"/>
    <cellStyle name="Normal" xfId="0" builtinId="0"/>
    <cellStyle name="Normal - Style1" xfId="333"/>
    <cellStyle name="Normal 10" xfId="334"/>
    <cellStyle name="Normal 11" xfId="335"/>
    <cellStyle name="Normal 12" xfId="336"/>
    <cellStyle name="Normal 13" xfId="337"/>
    <cellStyle name="Normal 14" xfId="338"/>
    <cellStyle name="Normal 15" xfId="339"/>
    <cellStyle name="Normal 16" xfId="340"/>
    <cellStyle name="Normal 17" xfId="341"/>
    <cellStyle name="Normal 18" xfId="342"/>
    <cellStyle name="Normal 19" xfId="343"/>
    <cellStyle name="Normal 2" xfId="344"/>
    <cellStyle name="Normal 2 2" xfId="345"/>
    <cellStyle name="Normal 2 2 2" xfId="518"/>
    <cellStyle name="Normal 2 3" xfId="585"/>
    <cellStyle name="Normal 2 5" xfId="482"/>
    <cellStyle name="Normal 2_I. T. Fija 1" xfId="483"/>
    <cellStyle name="Normal 20" xfId="346"/>
    <cellStyle name="Normal 21" xfId="347"/>
    <cellStyle name="Normal 22" xfId="484"/>
    <cellStyle name="Normal 22 2" xfId="586"/>
    <cellStyle name="Normal 23" xfId="512"/>
    <cellStyle name="Normal 24" xfId="515"/>
    <cellStyle name="Normal 25" xfId="516"/>
    <cellStyle name="Normal 26" xfId="604"/>
    <cellStyle name="Normal 3" xfId="348"/>
    <cellStyle name="Normal 3 2" xfId="587"/>
    <cellStyle name="Normal 4" xfId="349"/>
    <cellStyle name="Normal 5" xfId="350"/>
    <cellStyle name="Normal 6" xfId="7"/>
    <cellStyle name="Normal 7" xfId="351"/>
    <cellStyle name="Normal 8" xfId="352"/>
    <cellStyle name="Normal 9" xfId="353"/>
    <cellStyle name="Normal bold" xfId="501"/>
    <cellStyle name="Normal Font Size" xfId="588"/>
    <cellStyle name="Normal Italics" xfId="502"/>
    <cellStyle name="Normal_SERVICIO MOVIL (3)" xfId="4"/>
    <cellStyle name="Normal_Tráfico saliente prepago" xfId="5"/>
    <cellStyle name="Normale_1511" xfId="354"/>
    <cellStyle name="Normalny_56.Podstawowe dane o woj.(1)" xfId="589"/>
    <cellStyle name="Not In Use" xfId="355"/>
    <cellStyle name="Note" xfId="356"/>
    <cellStyle name="note3" xfId="357"/>
    <cellStyle name="notes" xfId="358"/>
    <cellStyle name="Number" xfId="359"/>
    <cellStyle name="Number (2dp)" xfId="360"/>
    <cellStyle name="Number_book1" xfId="361"/>
    <cellStyle name="Obsolete" xfId="362"/>
    <cellStyle name="Œ…‹æØ‚è [0.00]_!!!GO" xfId="363"/>
    <cellStyle name="Œ…‹æØ‚è_!!!GO" xfId="364"/>
    <cellStyle name="One-Decimal" xfId="365"/>
    <cellStyle name="Output" xfId="366"/>
    <cellStyle name="Output Amounts" xfId="367"/>
    <cellStyle name="per.style" xfId="368"/>
    <cellStyle name="Percent (0)" xfId="369"/>
    <cellStyle name="Percent [0]" xfId="370"/>
    <cellStyle name="Percent [00]" xfId="371"/>
    <cellStyle name="Percent [2]" xfId="372"/>
    <cellStyle name="Percent_Book1" xfId="373"/>
    <cellStyle name="Percentage" xfId="374"/>
    <cellStyle name="Percentage (2dp)" xfId="375"/>
    <cellStyle name="Percentage_book1" xfId="376"/>
    <cellStyle name="Placeholder" xfId="377"/>
    <cellStyle name="Porcentaje" xfId="378"/>
    <cellStyle name="Porcentaje 2" xfId="643"/>
    <cellStyle name="Porcentual" xfId="6" builtinId="5"/>
    <cellStyle name="Porcentual 10" xfId="379"/>
    <cellStyle name="Porcentual 10 2" xfId="644"/>
    <cellStyle name="Porcentual 11" xfId="486"/>
    <cellStyle name="Porcentual 12" xfId="513"/>
    <cellStyle name="Porcentual 13" xfId="605"/>
    <cellStyle name="Porcentual 2" xfId="380"/>
    <cellStyle name="Porcentual 2 2" xfId="9"/>
    <cellStyle name="Porcentual 2 2 2" xfId="519"/>
    <cellStyle name="Porcentual 3" xfId="381"/>
    <cellStyle name="Porcentual 4" xfId="382"/>
    <cellStyle name="Porcentual 5" xfId="383"/>
    <cellStyle name="Porcentual 6" xfId="384"/>
    <cellStyle name="Porcentual 7" xfId="385"/>
    <cellStyle name="Porcentual 8" xfId="386"/>
    <cellStyle name="Porcentual 8 2" xfId="387"/>
    <cellStyle name="Porcentual 8 2 2" xfId="388"/>
    <cellStyle name="Porcentual 8 2 3" xfId="389"/>
    <cellStyle name="Porcentual 8 2 3 2" xfId="390"/>
    <cellStyle name="Porcentual 8 2 3 2 2" xfId="391"/>
    <cellStyle name="Porcentual 8 2 3 2 2 2" xfId="392"/>
    <cellStyle name="Porcentual 9" xfId="393"/>
    <cellStyle name="PrePop Currency (0)" xfId="394"/>
    <cellStyle name="PrePop Currency (2)" xfId="395"/>
    <cellStyle name="PrePop Units (0)" xfId="396"/>
    <cellStyle name="PrePop Units (1)" xfId="397"/>
    <cellStyle name="PrePop Units (2)" xfId="398"/>
    <cellStyle name="Pricing" xfId="399"/>
    <cellStyle name="Product Sub-Headng" xfId="400"/>
    <cellStyle name="PSChar" xfId="401"/>
    <cellStyle name="PSDate" xfId="402"/>
    <cellStyle name="PSDec" xfId="403"/>
    <cellStyle name="PSHeading" xfId="404"/>
    <cellStyle name="PSInt" xfId="405"/>
    <cellStyle name="PSSpacer" xfId="406"/>
    <cellStyle name="Punto" xfId="407"/>
    <cellStyle name="Punto0" xfId="408"/>
    <cellStyle name="Punto0 - Estilo2" xfId="409"/>
    <cellStyle name="Red Heading" xfId="410"/>
    <cellStyle name="Ref Numbers" xfId="590"/>
    <cellStyle name="Reference" xfId="411"/>
    <cellStyle name="Result" xfId="412"/>
    <cellStyle name="RevList" xfId="413"/>
    <cellStyle name="RM" xfId="414"/>
    <cellStyle name="ROF no" xfId="415"/>
    <cellStyle name="ROF price" xfId="416"/>
    <cellStyle name="Row and Column Total" xfId="417"/>
    <cellStyle name="Row Heading" xfId="418"/>
    <cellStyle name="Row Heading (No Wrap)" xfId="419"/>
    <cellStyle name="Row Heading_Demand Summary" xfId="420"/>
    <cellStyle name="Row label" xfId="421"/>
    <cellStyle name="Row label (indent)" xfId="422"/>
    <cellStyle name="Row label_Book1" xfId="423"/>
    <cellStyle name="Row Total" xfId="424"/>
    <cellStyle name="Section" xfId="425"/>
    <cellStyle name="Section name" xfId="503"/>
    <cellStyle name="Section Title" xfId="426"/>
    <cellStyle name="Section_Title" xfId="427"/>
    <cellStyle name="Separador de milhares [0]_Junio 1999" xfId="428"/>
    <cellStyle name="Separador de milhares_Anexo - Target Precios_Proseco_12-04-04" xfId="429"/>
    <cellStyle name="Sheet_description" xfId="430"/>
    <cellStyle name="Small Number" xfId="431"/>
    <cellStyle name="Small Percentage" xfId="432"/>
    <cellStyle name="Small Print" xfId="433"/>
    <cellStyle name="Source" xfId="434"/>
    <cellStyle name="Source Line" xfId="591"/>
    <cellStyle name="Spreadsheet title" xfId="504"/>
    <cellStyle name="Standard_IPISV7" xfId="435"/>
    <cellStyle name="StrategyDependent" xfId="436"/>
    <cellStyle name="Style 1" xfId="592"/>
    <cellStyle name="Sub_title" xfId="437"/>
    <cellStyle name="subhead" xfId="438"/>
    <cellStyle name="Subheading" xfId="439"/>
    <cellStyle name="Sub-Section Title" xfId="440"/>
    <cellStyle name="Subsection_title" xfId="441"/>
    <cellStyle name="Subtitle" xfId="593"/>
    <cellStyle name="Sub-titulo" xfId="505"/>
    <cellStyle name="Sub-titulo 2" xfId="506"/>
    <cellStyle name="Subtotal" xfId="442"/>
    <cellStyle name="Sub-total" xfId="507"/>
    <cellStyle name="Sub-total row" xfId="443"/>
    <cellStyle name="SUPPR" xfId="444"/>
    <cellStyle name="Table finish row" xfId="445"/>
    <cellStyle name="Table Heading" xfId="594"/>
    <cellStyle name="Table shading" xfId="446"/>
    <cellStyle name="Table unfinish row" xfId="447"/>
    <cellStyle name="Table unshading" xfId="448"/>
    <cellStyle name="Table-#" xfId="595"/>
    <cellStyle name="Table_Header" xfId="508"/>
    <cellStyle name="Table-Headings" xfId="596"/>
    <cellStyle name="Table-Titles" xfId="597"/>
    <cellStyle name="taples Plaza" xfId="449"/>
    <cellStyle name="Temp" xfId="450"/>
    <cellStyle name="Text" xfId="451"/>
    <cellStyle name="Text Indent A" xfId="452"/>
    <cellStyle name="Text Indent B" xfId="453"/>
    <cellStyle name="Text Indent C" xfId="454"/>
    <cellStyle name="Text_input" xfId="455"/>
    <cellStyle name="Thousands" xfId="598"/>
    <cellStyle name="Thousands [0]" xfId="599"/>
    <cellStyle name="Title" xfId="456"/>
    <cellStyle name="Title Heading" xfId="457"/>
    <cellStyle name="Title Line" xfId="600"/>
    <cellStyle name="Title_Capex depreciated" xfId="458"/>
    <cellStyle name="Titulo-Seccion" xfId="509"/>
    <cellStyle name="Top Row" xfId="601"/>
    <cellStyle name="Total cell" xfId="459"/>
    <cellStyle name="Total row" xfId="460"/>
    <cellStyle name="Unhighlight" xfId="461"/>
    <cellStyle name="Unprot" xfId="462"/>
    <cellStyle name="Unprot$" xfId="463"/>
    <cellStyle name="Unprotect" xfId="464"/>
    <cellStyle name="Unsure" xfId="602"/>
    <cellStyle name="Untotal row" xfId="465"/>
    <cellStyle name="Valuta (0)" xfId="510"/>
    <cellStyle name="Valuta [0]_RESULTS" xfId="466"/>
    <cellStyle name="Valuta_1 new STM 16 ring" xfId="467"/>
    <cellStyle name="Warning Text" xfId="468"/>
    <cellStyle name="Worksheet_Title" xfId="469"/>
    <cellStyle name="WP Header" xfId="470"/>
    <cellStyle name="Year" xfId="511"/>
    <cellStyle name="千位[0]_pldt" xfId="471"/>
    <cellStyle name="千位_pldt" xfId="472"/>
    <cellStyle name="千位分隔[0]_1" xfId="473"/>
    <cellStyle name="千位分隔_1" xfId="474"/>
    <cellStyle name="常规_1" xfId="475"/>
    <cellStyle name="桁区切り [0.00]_Calc. C-J" xfId="476"/>
    <cellStyle name="桁区切り_Calc. C-J" xfId="477"/>
    <cellStyle name="標準_1951_0006" xfId="603"/>
    <cellStyle name="货币[0]_1" xfId="478"/>
    <cellStyle name="货币_1" xfId="479"/>
    <cellStyle name="通貨 [0.00]_Calc. C-J" xfId="480"/>
    <cellStyle name="通貨_Calc. C-J" xfId="48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83F35"/>
      <rgbColor rgb="0099BFC2"/>
      <rgbColor rgb="00156570"/>
      <rgbColor rgb="00B4A76C"/>
      <rgbColor rgb="00782327"/>
      <rgbColor rgb="00A5ACAF"/>
      <rgbColor rgb="0037424A"/>
      <rgbColor rgb="00E83F35"/>
      <rgbColor rgb="00E83F35"/>
      <rgbColor rgb="0099BFC2"/>
      <rgbColor rgb="00156570"/>
      <rgbColor rgb="00B4A76C"/>
      <rgbColor rgb="00782327"/>
      <rgbColor rgb="00A5ACAF"/>
      <rgbColor rgb="0037424A"/>
      <rgbColor rgb="00E83F35"/>
      <rgbColor rgb="0000CCFF"/>
      <rgbColor rgb="00CCFFFF"/>
      <rgbColor rgb="00CCFFCC"/>
      <rgbColor rgb="00FFFF99"/>
      <rgbColor rgb="0099CCFF"/>
      <rgbColor rgb="00E83F35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D65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Anualidades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'Tipos de cambio'!A1"/><Relationship Id="rId5" Type="http://schemas.openxmlformats.org/officeDocument/2006/relationships/hyperlink" Target="#'CAPEX, OPEX y gastos minoristas'!A1"/><Relationship Id="rId4" Type="http://schemas.openxmlformats.org/officeDocument/2006/relationships/hyperlink" Target="#'Tr&#225;fico y costos TPP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Anualidades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'Tipos de cambio'!A1"/><Relationship Id="rId5" Type="http://schemas.openxmlformats.org/officeDocument/2006/relationships/hyperlink" Target="#'CAPEX, OPEX y gastos minoristas'!A1"/><Relationship Id="rId4" Type="http://schemas.openxmlformats.org/officeDocument/2006/relationships/hyperlink" Target="#'Tr&#225;fico y costos TPP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Anualidades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'Tipos de cambio'!A1"/><Relationship Id="rId5" Type="http://schemas.openxmlformats.org/officeDocument/2006/relationships/hyperlink" Target="#'CAPEX, OPEX y gastos minoristas'!A1"/><Relationship Id="rId4" Type="http://schemas.openxmlformats.org/officeDocument/2006/relationships/hyperlink" Target="#'Tr&#225;fico y costos TPP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nualidades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'Tipos de cambio'!A1"/><Relationship Id="rId5" Type="http://schemas.openxmlformats.org/officeDocument/2006/relationships/hyperlink" Target="#'CAPEX, OPEX y gastos minoristas'!A1"/><Relationship Id="rId4" Type="http://schemas.openxmlformats.org/officeDocument/2006/relationships/hyperlink" Target="#'Tr&#225;fico y costos TPP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Anualidades!A1"/><Relationship Id="rId2" Type="http://schemas.openxmlformats.org/officeDocument/2006/relationships/hyperlink" Target="#Costos!A1"/><Relationship Id="rId1" Type="http://schemas.openxmlformats.org/officeDocument/2006/relationships/hyperlink" Target="#Resultados!A1"/><Relationship Id="rId6" Type="http://schemas.openxmlformats.org/officeDocument/2006/relationships/hyperlink" Target="#'Tipos de cambio'!A1"/><Relationship Id="rId5" Type="http://schemas.openxmlformats.org/officeDocument/2006/relationships/hyperlink" Target="#'CAPEX, OPEX y gastos minoristas'!A1"/><Relationship Id="rId4" Type="http://schemas.openxmlformats.org/officeDocument/2006/relationships/hyperlink" Target="#'Tr&#225;fico y costos TP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123825</xdr:rowOff>
    </xdr:from>
    <xdr:to>
      <xdr:col>3</xdr:col>
      <xdr:colOff>38100</xdr:colOff>
      <xdr:row>8</xdr:row>
      <xdr:rowOff>133350</xdr:rowOff>
    </xdr:to>
    <xdr:sp macro="" textlink="">
      <xdr:nvSpPr>
        <xdr:cNvPr id="6152" name="AutoShape 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562100" y="609600"/>
          <a:ext cx="2133600" cy="8191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6D6337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3</xdr:col>
      <xdr:colOff>190500</xdr:colOff>
      <xdr:row>3</xdr:row>
      <xdr:rowOff>114300</xdr:rowOff>
    </xdr:from>
    <xdr:to>
      <xdr:col>5</xdr:col>
      <xdr:colOff>695325</xdr:colOff>
      <xdr:row>8</xdr:row>
      <xdr:rowOff>123825</xdr:rowOff>
    </xdr:to>
    <xdr:sp macro="" textlink="">
      <xdr:nvSpPr>
        <xdr:cNvPr id="6153" name="AutoShape 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848100" y="600075"/>
          <a:ext cx="2133600" cy="8191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37424A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5</xdr:col>
      <xdr:colOff>847725</xdr:colOff>
      <xdr:row>3</xdr:row>
      <xdr:rowOff>114300</xdr:rowOff>
    </xdr:from>
    <xdr:to>
      <xdr:col>9</xdr:col>
      <xdr:colOff>133350</xdr:colOff>
      <xdr:row>8</xdr:row>
      <xdr:rowOff>123825</xdr:rowOff>
    </xdr:to>
    <xdr:sp macro="" textlink="">
      <xdr:nvSpPr>
        <xdr:cNvPr id="6154" name="AutoShape 10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6134100" y="600075"/>
          <a:ext cx="2133600" cy="8191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C3A4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9</xdr:col>
      <xdr:colOff>295275</xdr:colOff>
      <xdr:row>3</xdr:row>
      <xdr:rowOff>114300</xdr:rowOff>
    </xdr:from>
    <xdr:to>
      <xdr:col>12</xdr:col>
      <xdr:colOff>600075</xdr:colOff>
      <xdr:row>8</xdr:row>
      <xdr:rowOff>123825</xdr:rowOff>
    </xdr:to>
    <xdr:sp macro="" textlink="">
      <xdr:nvSpPr>
        <xdr:cNvPr id="6155" name="AutoShape 11"/>
        <xdr:cNvSpPr>
          <a:spLocks noChangeArrowheads="1"/>
        </xdr:cNvSpPr>
      </xdr:nvSpPr>
      <xdr:spPr bwMode="auto">
        <a:xfrm>
          <a:off x="8429625" y="600075"/>
          <a:ext cx="2133600" cy="8191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156570"/>
          </a:solidFill>
          <a:round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11</xdr:col>
      <xdr:colOff>0</xdr:colOff>
      <xdr:row>3</xdr:row>
      <xdr:rowOff>142875</xdr:rowOff>
    </xdr:from>
    <xdr:to>
      <xdr:col>12</xdr:col>
      <xdr:colOff>542925</xdr:colOff>
      <xdr:row>5</xdr:row>
      <xdr:rowOff>38100</xdr:rowOff>
    </xdr:to>
    <xdr:sp macro="" textlink="">
      <xdr:nvSpPr>
        <xdr:cNvPr id="6156" name="AutoShape 12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353550" y="628650"/>
          <a:ext cx="1152525" cy="219075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15657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PE" sz="700" b="1" i="0" u="none" strike="noStrike" baseline="0">
              <a:solidFill>
                <a:srgbClr val="FFFFFF"/>
              </a:solidFill>
              <a:latin typeface="Arial"/>
              <a:cs typeface="Arial"/>
            </a:rPr>
            <a:t>Tráfico y costos TPP</a:t>
          </a:r>
        </a:p>
      </xdr:txBody>
    </xdr:sp>
    <xdr:clientData/>
  </xdr:twoCellAnchor>
  <xdr:twoCellAnchor>
    <xdr:from>
      <xdr:col>11</xdr:col>
      <xdr:colOff>0</xdr:colOff>
      <xdr:row>5</xdr:row>
      <xdr:rowOff>85725</xdr:rowOff>
    </xdr:from>
    <xdr:to>
      <xdr:col>12</xdr:col>
      <xdr:colOff>542925</xdr:colOff>
      <xdr:row>6</xdr:row>
      <xdr:rowOff>142875</xdr:rowOff>
    </xdr:to>
    <xdr:sp macro="" textlink="">
      <xdr:nvSpPr>
        <xdr:cNvPr id="6157" name="AutoShape 13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353550" y="895350"/>
          <a:ext cx="1152525" cy="219075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15657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11</xdr:col>
      <xdr:colOff>0</xdr:colOff>
      <xdr:row>7</xdr:row>
      <xdr:rowOff>28575</xdr:rowOff>
    </xdr:from>
    <xdr:to>
      <xdr:col>12</xdr:col>
      <xdr:colOff>542925</xdr:colOff>
      <xdr:row>8</xdr:row>
      <xdr:rowOff>85725</xdr:rowOff>
    </xdr:to>
    <xdr:sp macro="" textlink="">
      <xdr:nvSpPr>
        <xdr:cNvPr id="6158" name="AutoShape 14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353550" y="1162050"/>
          <a:ext cx="1152525" cy="219075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C3A4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Tipos de cambio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114300</xdr:rowOff>
    </xdr:from>
    <xdr:to>
      <xdr:col>2</xdr:col>
      <xdr:colOff>2133600</xdr:colOff>
      <xdr:row>8</xdr:row>
      <xdr:rowOff>123825</xdr:rowOff>
    </xdr:to>
    <xdr:sp macro="" textlink="">
      <xdr:nvSpPr>
        <xdr:cNvPr id="5139" name="AutoShape 19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219200" y="600075"/>
          <a:ext cx="2133600" cy="8191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6D6337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2</xdr:col>
      <xdr:colOff>2295525</xdr:colOff>
      <xdr:row>3</xdr:row>
      <xdr:rowOff>114300</xdr:rowOff>
    </xdr:from>
    <xdr:to>
      <xdr:col>4</xdr:col>
      <xdr:colOff>685800</xdr:colOff>
      <xdr:row>8</xdr:row>
      <xdr:rowOff>123825</xdr:rowOff>
    </xdr:to>
    <xdr:sp macro="" textlink="">
      <xdr:nvSpPr>
        <xdr:cNvPr id="5140" name="AutoShape 20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514725" y="600075"/>
          <a:ext cx="2133600" cy="8191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37424A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4</xdr:col>
      <xdr:colOff>847725</xdr:colOff>
      <xdr:row>3</xdr:row>
      <xdr:rowOff>114300</xdr:rowOff>
    </xdr:from>
    <xdr:to>
      <xdr:col>4</xdr:col>
      <xdr:colOff>2981325</xdr:colOff>
      <xdr:row>8</xdr:row>
      <xdr:rowOff>123825</xdr:rowOff>
    </xdr:to>
    <xdr:sp macro="" textlink="">
      <xdr:nvSpPr>
        <xdr:cNvPr id="5141" name="AutoShape 21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5810250" y="600075"/>
          <a:ext cx="2133600" cy="8191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C3A4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4</xdr:col>
      <xdr:colOff>3143250</xdr:colOff>
      <xdr:row>3</xdr:row>
      <xdr:rowOff>114300</xdr:rowOff>
    </xdr:from>
    <xdr:to>
      <xdr:col>5</xdr:col>
      <xdr:colOff>476250</xdr:colOff>
      <xdr:row>8</xdr:row>
      <xdr:rowOff>123825</xdr:rowOff>
    </xdr:to>
    <xdr:sp macro="" textlink="">
      <xdr:nvSpPr>
        <xdr:cNvPr id="5142" name="AutoShape 22"/>
        <xdr:cNvSpPr>
          <a:spLocks noChangeArrowheads="1"/>
        </xdr:cNvSpPr>
      </xdr:nvSpPr>
      <xdr:spPr bwMode="auto">
        <a:xfrm>
          <a:off x="8105775" y="600075"/>
          <a:ext cx="2133600" cy="8191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156570"/>
          </a:solidFill>
          <a:round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4</xdr:col>
      <xdr:colOff>4057650</xdr:colOff>
      <xdr:row>3</xdr:row>
      <xdr:rowOff>142875</xdr:rowOff>
    </xdr:from>
    <xdr:to>
      <xdr:col>5</xdr:col>
      <xdr:colOff>409575</xdr:colOff>
      <xdr:row>5</xdr:row>
      <xdr:rowOff>38100</xdr:rowOff>
    </xdr:to>
    <xdr:sp macro="" textlink="">
      <xdr:nvSpPr>
        <xdr:cNvPr id="5143" name="AutoShape 23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020175" y="628650"/>
          <a:ext cx="1152525" cy="219075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15657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PE" sz="700" b="1" i="0" u="none" strike="noStrike" baseline="0">
              <a:solidFill>
                <a:srgbClr val="FFFFFF"/>
              </a:solidFill>
              <a:latin typeface="Arial"/>
              <a:cs typeface="Arial"/>
            </a:rPr>
            <a:t>Tráfico y costos TPP</a:t>
          </a:r>
        </a:p>
      </xdr:txBody>
    </xdr:sp>
    <xdr:clientData/>
  </xdr:twoCellAnchor>
  <xdr:twoCellAnchor>
    <xdr:from>
      <xdr:col>4</xdr:col>
      <xdr:colOff>4057650</xdr:colOff>
      <xdr:row>5</xdr:row>
      <xdr:rowOff>85725</xdr:rowOff>
    </xdr:from>
    <xdr:to>
      <xdr:col>5</xdr:col>
      <xdr:colOff>409575</xdr:colOff>
      <xdr:row>6</xdr:row>
      <xdr:rowOff>142875</xdr:rowOff>
    </xdr:to>
    <xdr:sp macro="" textlink="">
      <xdr:nvSpPr>
        <xdr:cNvPr id="5144" name="AutoShape 24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020175" y="895350"/>
          <a:ext cx="1152525" cy="219075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15657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4</xdr:col>
      <xdr:colOff>4057650</xdr:colOff>
      <xdr:row>7</xdr:row>
      <xdr:rowOff>38100</xdr:rowOff>
    </xdr:from>
    <xdr:to>
      <xdr:col>5</xdr:col>
      <xdr:colOff>409575</xdr:colOff>
      <xdr:row>8</xdr:row>
      <xdr:rowOff>95250</xdr:rowOff>
    </xdr:to>
    <xdr:sp macro="" textlink="">
      <xdr:nvSpPr>
        <xdr:cNvPr id="5145" name="AutoShape 25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020175" y="1171575"/>
          <a:ext cx="1152525" cy="219075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C3A4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Tipo de cambio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114300</xdr:rowOff>
    </xdr:from>
    <xdr:to>
      <xdr:col>2</xdr:col>
      <xdr:colOff>2133600</xdr:colOff>
      <xdr:row>9</xdr:row>
      <xdr:rowOff>123825</xdr:rowOff>
    </xdr:to>
    <xdr:sp macro="" textlink="">
      <xdr:nvSpPr>
        <xdr:cNvPr id="15377" name="AutoShape 17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219200" y="600075"/>
          <a:ext cx="2133600" cy="8191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6D6337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3</xdr:col>
      <xdr:colOff>76200</xdr:colOff>
      <xdr:row>4</xdr:row>
      <xdr:rowOff>114300</xdr:rowOff>
    </xdr:from>
    <xdr:to>
      <xdr:col>5</xdr:col>
      <xdr:colOff>371475</xdr:colOff>
      <xdr:row>9</xdr:row>
      <xdr:rowOff>123825</xdr:rowOff>
    </xdr:to>
    <xdr:sp macro="" textlink="">
      <xdr:nvSpPr>
        <xdr:cNvPr id="15378" name="AutoShape 18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505200" y="600075"/>
          <a:ext cx="2133600" cy="8191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37424A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5</xdr:col>
      <xdr:colOff>542925</xdr:colOff>
      <xdr:row>4</xdr:row>
      <xdr:rowOff>114300</xdr:rowOff>
    </xdr:from>
    <xdr:to>
      <xdr:col>7</xdr:col>
      <xdr:colOff>619125</xdr:colOff>
      <xdr:row>9</xdr:row>
      <xdr:rowOff>123825</xdr:rowOff>
    </xdr:to>
    <xdr:sp macro="" textlink="">
      <xdr:nvSpPr>
        <xdr:cNvPr id="15379" name="AutoShape 19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5810250" y="600075"/>
          <a:ext cx="2133600" cy="8191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C3A4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7</xdr:col>
      <xdr:colOff>781050</xdr:colOff>
      <xdr:row>4</xdr:row>
      <xdr:rowOff>114300</xdr:rowOff>
    </xdr:from>
    <xdr:to>
      <xdr:col>9</xdr:col>
      <xdr:colOff>352425</xdr:colOff>
      <xdr:row>9</xdr:row>
      <xdr:rowOff>123825</xdr:rowOff>
    </xdr:to>
    <xdr:sp macro="" textlink="">
      <xdr:nvSpPr>
        <xdr:cNvPr id="15380" name="AutoShape 20"/>
        <xdr:cNvSpPr>
          <a:spLocks noChangeArrowheads="1"/>
        </xdr:cNvSpPr>
      </xdr:nvSpPr>
      <xdr:spPr bwMode="auto">
        <a:xfrm>
          <a:off x="8105775" y="600075"/>
          <a:ext cx="2133600" cy="8191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156570"/>
          </a:solidFill>
          <a:round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8</xdr:col>
      <xdr:colOff>285750</xdr:colOff>
      <xdr:row>4</xdr:row>
      <xdr:rowOff>142875</xdr:rowOff>
    </xdr:from>
    <xdr:to>
      <xdr:col>9</xdr:col>
      <xdr:colOff>285750</xdr:colOff>
      <xdr:row>6</xdr:row>
      <xdr:rowOff>38100</xdr:rowOff>
    </xdr:to>
    <xdr:sp macro="" textlink="">
      <xdr:nvSpPr>
        <xdr:cNvPr id="15381" name="AutoShape 21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020175" y="628650"/>
          <a:ext cx="1152525" cy="219075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15657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PE" sz="700" b="1" i="0" u="none" strike="noStrike" baseline="0">
              <a:solidFill>
                <a:srgbClr val="FFFFFF"/>
              </a:solidFill>
              <a:latin typeface="Arial"/>
              <a:cs typeface="Arial"/>
            </a:rPr>
            <a:t>Tráfico y costos TPP</a:t>
          </a:r>
        </a:p>
      </xdr:txBody>
    </xdr:sp>
    <xdr:clientData/>
  </xdr:twoCellAnchor>
  <xdr:twoCellAnchor>
    <xdr:from>
      <xdr:col>8</xdr:col>
      <xdr:colOff>285750</xdr:colOff>
      <xdr:row>6</xdr:row>
      <xdr:rowOff>85725</xdr:rowOff>
    </xdr:from>
    <xdr:to>
      <xdr:col>9</xdr:col>
      <xdr:colOff>285750</xdr:colOff>
      <xdr:row>7</xdr:row>
      <xdr:rowOff>142875</xdr:rowOff>
    </xdr:to>
    <xdr:sp macro="" textlink="">
      <xdr:nvSpPr>
        <xdr:cNvPr id="15382" name="AutoShape 22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020175" y="895350"/>
          <a:ext cx="1152525" cy="219075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15657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8</xdr:col>
      <xdr:colOff>285750</xdr:colOff>
      <xdr:row>8</xdr:row>
      <xdr:rowOff>38100</xdr:rowOff>
    </xdr:from>
    <xdr:to>
      <xdr:col>9</xdr:col>
      <xdr:colOff>285750</xdr:colOff>
      <xdr:row>9</xdr:row>
      <xdr:rowOff>95250</xdr:rowOff>
    </xdr:to>
    <xdr:sp macro="" textlink="">
      <xdr:nvSpPr>
        <xdr:cNvPr id="15383" name="AutoShape 23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020175" y="1171575"/>
          <a:ext cx="1152525" cy="219075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C3A4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Tipo de cambio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114300</xdr:rowOff>
    </xdr:from>
    <xdr:to>
      <xdr:col>2</xdr:col>
      <xdr:colOff>2133600</xdr:colOff>
      <xdr:row>7</xdr:row>
      <xdr:rowOff>123825</xdr:rowOff>
    </xdr:to>
    <xdr:sp macro="" textlink="">
      <xdr:nvSpPr>
        <xdr:cNvPr id="7191" name="AutoShape 2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219200" y="600075"/>
          <a:ext cx="2133600" cy="8191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6D6337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2</xdr:col>
      <xdr:colOff>2266950</xdr:colOff>
      <xdr:row>2</xdr:row>
      <xdr:rowOff>114300</xdr:rowOff>
    </xdr:from>
    <xdr:to>
      <xdr:col>2</xdr:col>
      <xdr:colOff>4400550</xdr:colOff>
      <xdr:row>7</xdr:row>
      <xdr:rowOff>123825</xdr:rowOff>
    </xdr:to>
    <xdr:sp macro="" textlink="">
      <xdr:nvSpPr>
        <xdr:cNvPr id="7192" name="AutoShape 24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486150" y="600075"/>
          <a:ext cx="2133600" cy="8191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37424A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3</xdr:col>
      <xdr:colOff>123825</xdr:colOff>
      <xdr:row>2</xdr:row>
      <xdr:rowOff>114300</xdr:rowOff>
    </xdr:from>
    <xdr:to>
      <xdr:col>4</xdr:col>
      <xdr:colOff>361950</xdr:colOff>
      <xdr:row>7</xdr:row>
      <xdr:rowOff>123825</xdr:rowOff>
    </xdr:to>
    <xdr:sp macro="" textlink="">
      <xdr:nvSpPr>
        <xdr:cNvPr id="7193" name="AutoShape 25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5800725" y="600075"/>
          <a:ext cx="2133600" cy="8191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C3A4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4</xdr:col>
      <xdr:colOff>523875</xdr:colOff>
      <xdr:row>2</xdr:row>
      <xdr:rowOff>114300</xdr:rowOff>
    </xdr:from>
    <xdr:to>
      <xdr:col>6</xdr:col>
      <xdr:colOff>19050</xdr:colOff>
      <xdr:row>7</xdr:row>
      <xdr:rowOff>123825</xdr:rowOff>
    </xdr:to>
    <xdr:sp macro="" textlink="">
      <xdr:nvSpPr>
        <xdr:cNvPr id="7194" name="AutoShape 26"/>
        <xdr:cNvSpPr>
          <a:spLocks noChangeArrowheads="1"/>
        </xdr:cNvSpPr>
      </xdr:nvSpPr>
      <xdr:spPr bwMode="auto">
        <a:xfrm>
          <a:off x="8096250" y="600075"/>
          <a:ext cx="2200275" cy="8191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156570"/>
          </a:solidFill>
          <a:round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5</xdr:col>
      <xdr:colOff>180975</xdr:colOff>
      <xdr:row>2</xdr:row>
      <xdr:rowOff>142875</xdr:rowOff>
    </xdr:from>
    <xdr:to>
      <xdr:col>5</xdr:col>
      <xdr:colOff>1400175</xdr:colOff>
      <xdr:row>4</xdr:row>
      <xdr:rowOff>38100</xdr:rowOff>
    </xdr:to>
    <xdr:sp macro="" textlink="">
      <xdr:nvSpPr>
        <xdr:cNvPr id="7198" name="AutoShape 30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029700" y="628650"/>
          <a:ext cx="1219200" cy="219075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15657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PE" sz="700" b="1" i="0" u="none" strike="noStrike" baseline="0">
              <a:solidFill>
                <a:srgbClr val="FFFFFF"/>
              </a:solidFill>
              <a:latin typeface="Arial"/>
              <a:cs typeface="Arial"/>
            </a:rPr>
            <a:t>Tráfico y costos TPP</a:t>
          </a:r>
        </a:p>
      </xdr:txBody>
    </xdr:sp>
    <xdr:clientData/>
  </xdr:twoCellAnchor>
  <xdr:twoCellAnchor>
    <xdr:from>
      <xdr:col>5</xdr:col>
      <xdr:colOff>180975</xdr:colOff>
      <xdr:row>4</xdr:row>
      <xdr:rowOff>85725</xdr:rowOff>
    </xdr:from>
    <xdr:to>
      <xdr:col>5</xdr:col>
      <xdr:colOff>1400175</xdr:colOff>
      <xdr:row>5</xdr:row>
      <xdr:rowOff>142875</xdr:rowOff>
    </xdr:to>
    <xdr:sp macro="" textlink="">
      <xdr:nvSpPr>
        <xdr:cNvPr id="7199" name="AutoShape 31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029700" y="895350"/>
          <a:ext cx="1219200" cy="219075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15657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5</xdr:col>
      <xdr:colOff>180975</xdr:colOff>
      <xdr:row>6</xdr:row>
      <xdr:rowOff>28575</xdr:rowOff>
    </xdr:from>
    <xdr:to>
      <xdr:col>5</xdr:col>
      <xdr:colOff>1400175</xdr:colOff>
      <xdr:row>7</xdr:row>
      <xdr:rowOff>85725</xdr:rowOff>
    </xdr:to>
    <xdr:sp macro="" textlink="">
      <xdr:nvSpPr>
        <xdr:cNvPr id="7200" name="AutoShape 32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029700" y="1162050"/>
          <a:ext cx="1219200" cy="219075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C3A4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Tipo de cambio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3</xdr:row>
      <xdr:rowOff>114300</xdr:rowOff>
    </xdr:from>
    <xdr:to>
      <xdr:col>4</xdr:col>
      <xdr:colOff>485775</xdr:colOff>
      <xdr:row>8</xdr:row>
      <xdr:rowOff>123825</xdr:rowOff>
    </xdr:to>
    <xdr:sp macro="" textlink="">
      <xdr:nvSpPr>
        <xdr:cNvPr id="9236" name="AutoShape 20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295400" y="600075"/>
          <a:ext cx="2133600" cy="819150"/>
        </a:xfrm>
        <a:prstGeom prst="roundRect">
          <a:avLst>
            <a:gd name="adj" fmla="val 16667"/>
          </a:avLst>
        </a:prstGeom>
        <a:solidFill>
          <a:srgbClr val="B4A76C"/>
        </a:solidFill>
        <a:ln w="9525">
          <a:solidFill>
            <a:srgbClr val="6D6337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RESULTADOS</a:t>
          </a:r>
        </a:p>
      </xdr:txBody>
    </xdr:sp>
    <xdr:clientData/>
  </xdr:twoCellAnchor>
  <xdr:twoCellAnchor>
    <xdr:from>
      <xdr:col>4</xdr:col>
      <xdr:colOff>647700</xdr:colOff>
      <xdr:row>3</xdr:row>
      <xdr:rowOff>114300</xdr:rowOff>
    </xdr:from>
    <xdr:to>
      <xdr:col>7</xdr:col>
      <xdr:colOff>180975</xdr:colOff>
      <xdr:row>8</xdr:row>
      <xdr:rowOff>123825</xdr:rowOff>
    </xdr:to>
    <xdr:sp macro="" textlink="">
      <xdr:nvSpPr>
        <xdr:cNvPr id="9237" name="AutoShape 21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590925" y="600075"/>
          <a:ext cx="2133600" cy="819150"/>
        </a:xfrm>
        <a:prstGeom prst="roundRect">
          <a:avLst>
            <a:gd name="adj" fmla="val 16667"/>
          </a:avLst>
        </a:prstGeom>
        <a:solidFill>
          <a:srgbClr val="A5ACAF"/>
        </a:solidFill>
        <a:ln w="9525">
          <a:solidFill>
            <a:srgbClr val="37424A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COSTOS</a:t>
          </a:r>
        </a:p>
      </xdr:txBody>
    </xdr:sp>
    <xdr:clientData/>
  </xdr:twoCellAnchor>
  <xdr:twoCellAnchor>
    <xdr:from>
      <xdr:col>7</xdr:col>
      <xdr:colOff>333375</xdr:colOff>
      <xdr:row>3</xdr:row>
      <xdr:rowOff>114300</xdr:rowOff>
    </xdr:from>
    <xdr:to>
      <xdr:col>9</xdr:col>
      <xdr:colOff>733425</xdr:colOff>
      <xdr:row>8</xdr:row>
      <xdr:rowOff>123825</xdr:rowOff>
    </xdr:to>
    <xdr:sp macro="" textlink="">
      <xdr:nvSpPr>
        <xdr:cNvPr id="9238" name="AutoShape 22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5876925" y="600075"/>
          <a:ext cx="2133600" cy="819150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C3A4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ANUALIDADES</a:t>
          </a:r>
        </a:p>
      </xdr:txBody>
    </xdr:sp>
    <xdr:clientData/>
  </xdr:twoCellAnchor>
  <xdr:twoCellAnchor>
    <xdr:from>
      <xdr:col>10</xdr:col>
      <xdr:colOff>28575</xdr:colOff>
      <xdr:row>3</xdr:row>
      <xdr:rowOff>114300</xdr:rowOff>
    </xdr:from>
    <xdr:to>
      <xdr:col>12</xdr:col>
      <xdr:colOff>428625</xdr:colOff>
      <xdr:row>8</xdr:row>
      <xdr:rowOff>123825</xdr:rowOff>
    </xdr:to>
    <xdr:sp macro="" textlink="">
      <xdr:nvSpPr>
        <xdr:cNvPr id="9239" name="AutoShape 23"/>
        <xdr:cNvSpPr>
          <a:spLocks noChangeArrowheads="1"/>
        </xdr:cNvSpPr>
      </xdr:nvSpPr>
      <xdr:spPr bwMode="auto">
        <a:xfrm>
          <a:off x="8172450" y="600075"/>
          <a:ext cx="2133600" cy="819150"/>
        </a:xfrm>
        <a:prstGeom prst="roundRect">
          <a:avLst>
            <a:gd name="adj" fmla="val 16667"/>
          </a:avLst>
        </a:prstGeom>
        <a:solidFill>
          <a:srgbClr val="99BFC2"/>
        </a:solidFill>
        <a:ln w="9525">
          <a:solidFill>
            <a:srgbClr val="156570"/>
          </a:solidFill>
          <a:round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es-PE" sz="1600" b="0" i="0" u="none" strike="noStrike" baseline="0">
              <a:solidFill>
                <a:srgbClr val="FFFFFF"/>
              </a:solidFill>
              <a:latin typeface="Arial"/>
              <a:cs typeface="Arial"/>
            </a:rPr>
            <a:t>INPUTS</a:t>
          </a:r>
        </a:p>
      </xdr:txBody>
    </xdr:sp>
    <xdr:clientData/>
  </xdr:twoCellAnchor>
  <xdr:twoCellAnchor>
    <xdr:from>
      <xdr:col>11</xdr:col>
      <xdr:colOff>38100</xdr:colOff>
      <xdr:row>3</xdr:row>
      <xdr:rowOff>142875</xdr:rowOff>
    </xdr:from>
    <xdr:to>
      <xdr:col>12</xdr:col>
      <xdr:colOff>390525</xdr:colOff>
      <xdr:row>5</xdr:row>
      <xdr:rowOff>38100</xdr:rowOff>
    </xdr:to>
    <xdr:sp macro="" textlink="">
      <xdr:nvSpPr>
        <xdr:cNvPr id="9243" name="AutoShape 27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9048750" y="628650"/>
          <a:ext cx="1219200" cy="219075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15657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PE" sz="700" b="1" i="0" u="none" strike="noStrike" baseline="0">
              <a:solidFill>
                <a:srgbClr val="FFFFFF"/>
              </a:solidFill>
              <a:latin typeface="Arial"/>
              <a:cs typeface="Arial"/>
            </a:rPr>
            <a:t>Tráfico y costos TPP</a:t>
          </a:r>
        </a:p>
      </xdr:txBody>
    </xdr:sp>
    <xdr:clientData/>
  </xdr:twoCellAnchor>
  <xdr:twoCellAnchor>
    <xdr:from>
      <xdr:col>11</xdr:col>
      <xdr:colOff>38100</xdr:colOff>
      <xdr:row>5</xdr:row>
      <xdr:rowOff>85725</xdr:rowOff>
    </xdr:from>
    <xdr:to>
      <xdr:col>12</xdr:col>
      <xdr:colOff>390525</xdr:colOff>
      <xdr:row>6</xdr:row>
      <xdr:rowOff>142875</xdr:rowOff>
    </xdr:to>
    <xdr:sp macro="" textlink="">
      <xdr:nvSpPr>
        <xdr:cNvPr id="9244" name="AutoShape 28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9048750" y="895350"/>
          <a:ext cx="1219200" cy="219075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15657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CAPEX y OPEX</a:t>
          </a:r>
        </a:p>
      </xdr:txBody>
    </xdr:sp>
    <xdr:clientData/>
  </xdr:twoCellAnchor>
  <xdr:twoCellAnchor>
    <xdr:from>
      <xdr:col>11</xdr:col>
      <xdr:colOff>38100</xdr:colOff>
      <xdr:row>7</xdr:row>
      <xdr:rowOff>28575</xdr:rowOff>
    </xdr:from>
    <xdr:to>
      <xdr:col>12</xdr:col>
      <xdr:colOff>390525</xdr:colOff>
      <xdr:row>8</xdr:row>
      <xdr:rowOff>85725</xdr:rowOff>
    </xdr:to>
    <xdr:sp macro="" textlink="">
      <xdr:nvSpPr>
        <xdr:cNvPr id="9245" name="AutoShape 29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9048750" y="1162050"/>
          <a:ext cx="1219200" cy="219075"/>
        </a:xfrm>
        <a:prstGeom prst="roundRect">
          <a:avLst>
            <a:gd name="adj" fmla="val 16667"/>
          </a:avLst>
        </a:prstGeom>
        <a:solidFill>
          <a:srgbClr val="156570"/>
        </a:solidFill>
        <a:ln w="9525">
          <a:solidFill>
            <a:srgbClr val="0C3A40"/>
          </a:solidFill>
          <a:round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PE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Tipo de cambio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dvisory\Forecasts%20for%20Telecoms%20and%20Mobile\2001_4q\Forecasts\Mobile\AME\CTYWKBKS\LA\MEX9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MEX95IB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 enableFormatConditionsCalculation="0">
    <tabColor rgb="FF0070C0"/>
  </sheetPr>
  <dimension ref="A12:U67"/>
  <sheetViews>
    <sheetView showGridLines="0" tabSelected="1" zoomScaleNormal="100" workbookViewId="0"/>
  </sheetViews>
  <sheetFormatPr baseColWidth="10" defaultColWidth="9.140625" defaultRowHeight="12.75"/>
  <cols>
    <col min="2" max="2" width="14" bestFit="1" customWidth="1"/>
    <col min="3" max="3" width="36.85546875" customWidth="1"/>
    <col min="4" max="4" width="21.42578125" customWidth="1"/>
    <col min="5" max="5" width="27.5703125" customWidth="1"/>
    <col min="6" max="6" width="32.28515625" customWidth="1"/>
    <col min="7" max="7" width="25.28515625" customWidth="1"/>
    <col min="8" max="8" width="17.28515625" customWidth="1"/>
    <col min="9" max="9" width="16.5703125" customWidth="1"/>
    <col min="10" max="10" width="6.28515625" customWidth="1"/>
  </cols>
  <sheetData>
    <row r="12" spans="1:21" ht="20.25">
      <c r="A12" s="5"/>
      <c r="B12" s="1"/>
      <c r="C12" s="1" t="s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4" spans="1:21">
      <c r="C14" s="96" t="s">
        <v>10</v>
      </c>
      <c r="D14" s="131">
        <v>0.12180000000000001</v>
      </c>
    </row>
    <row r="15" spans="1:21">
      <c r="C15" s="97" t="s">
        <v>17</v>
      </c>
      <c r="D15" s="111">
        <v>-0.05</v>
      </c>
    </row>
    <row r="16" spans="1:21">
      <c r="C16" s="97" t="s">
        <v>18</v>
      </c>
      <c r="D16" s="132">
        <v>5</v>
      </c>
    </row>
    <row r="17" spans="1:21">
      <c r="C17" s="97" t="s">
        <v>46</v>
      </c>
      <c r="D17" s="110">
        <v>0.1</v>
      </c>
    </row>
    <row r="18" spans="1:21">
      <c r="C18" s="97" t="s">
        <v>54</v>
      </c>
      <c r="D18" s="110">
        <v>0.1</v>
      </c>
    </row>
    <row r="19" spans="1:21" ht="28.5" customHeight="1">
      <c r="B19" s="7"/>
      <c r="C19" s="98" t="s">
        <v>60</v>
      </c>
      <c r="D19" s="133">
        <v>0</v>
      </c>
    </row>
    <row r="20" spans="1:21" s="3" customFormat="1">
      <c r="C20" s="12"/>
      <c r="D20" s="58"/>
    </row>
    <row r="21" spans="1:21" ht="20.25">
      <c r="A21" s="5"/>
      <c r="B21" s="1"/>
      <c r="C21" s="1" t="s">
        <v>11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3" spans="1:21" ht="18">
      <c r="B23" s="68" t="s">
        <v>41</v>
      </c>
      <c r="C23" s="245">
        <f>+G56</f>
        <v>3.251569957584902E-4</v>
      </c>
      <c r="D23" s="19" t="s">
        <v>12</v>
      </c>
      <c r="F23" s="122"/>
      <c r="G23" s="11"/>
      <c r="H23" s="11"/>
      <c r="I23" s="11"/>
      <c r="J23" s="11"/>
    </row>
    <row r="24" spans="1:21">
      <c r="B24" s="68"/>
      <c r="F24" s="123"/>
      <c r="G24" s="124"/>
      <c r="H24" s="11"/>
      <c r="I24" s="11"/>
      <c r="J24" s="11"/>
    </row>
    <row r="25" spans="1:21">
      <c r="B25" s="68"/>
    </row>
    <row r="26" spans="1:21" ht="15.75">
      <c r="B26" s="68"/>
      <c r="F26" s="134" t="s">
        <v>118</v>
      </c>
      <c r="G26" s="135"/>
    </row>
    <row r="27" spans="1:21">
      <c r="B27" s="68"/>
      <c r="F27" s="136"/>
      <c r="G27" s="137"/>
    </row>
    <row r="28" spans="1:21">
      <c r="B28" s="68"/>
      <c r="F28" s="136" t="s">
        <v>71</v>
      </c>
      <c r="G28" s="137"/>
    </row>
    <row r="29" spans="1:21">
      <c r="B29" s="68"/>
      <c r="F29" s="138" t="s">
        <v>20</v>
      </c>
      <c r="G29" s="240">
        <f>+Costos!D17</f>
        <v>1064478.8397084195</v>
      </c>
    </row>
    <row r="30" spans="1:21">
      <c r="B30" s="68"/>
      <c r="F30" s="138" t="s">
        <v>21</v>
      </c>
      <c r="G30" s="240">
        <f>+Costos!D18</f>
        <v>697190.36349841743</v>
      </c>
    </row>
    <row r="31" spans="1:21">
      <c r="B31" s="68"/>
      <c r="F31" s="140" t="s">
        <v>70</v>
      </c>
      <c r="G31" s="241">
        <f>+G29+G30</f>
        <v>1761669.2032068369</v>
      </c>
    </row>
    <row r="32" spans="1:21">
      <c r="B32" s="68"/>
      <c r="F32" s="137"/>
      <c r="G32" s="142"/>
    </row>
    <row r="33" spans="2:7">
      <c r="B33" s="68"/>
      <c r="F33" s="39" t="s">
        <v>72</v>
      </c>
      <c r="G33" s="142"/>
    </row>
    <row r="34" spans="2:7">
      <c r="B34" s="68"/>
      <c r="F34" s="138" t="s">
        <v>67</v>
      </c>
      <c r="G34" s="139">
        <f>+'Tráfico y costos TPP'!D16</f>
        <v>5963208887.8025761</v>
      </c>
    </row>
    <row r="35" spans="2:7">
      <c r="B35" s="68"/>
      <c r="F35" s="140" t="s">
        <v>70</v>
      </c>
      <c r="G35" s="141">
        <f>+G34</f>
        <v>5963208887.8025761</v>
      </c>
    </row>
    <row r="36" spans="2:7">
      <c r="B36" s="68"/>
      <c r="F36" s="143"/>
      <c r="G36" s="144"/>
    </row>
    <row r="37" spans="2:7" ht="15">
      <c r="B37" s="68"/>
      <c r="F37" s="145" t="s">
        <v>119</v>
      </c>
      <c r="G37" s="242">
        <f>+G31/G35</f>
        <v>2.9542302413893917E-4</v>
      </c>
    </row>
    <row r="38" spans="2:7">
      <c r="B38" s="68"/>
      <c r="F38" s="10"/>
      <c r="G38" s="10"/>
    </row>
    <row r="39" spans="2:7" ht="15.75">
      <c r="B39" s="68"/>
      <c r="F39" s="134" t="s">
        <v>120</v>
      </c>
      <c r="G39" s="135"/>
    </row>
    <row r="40" spans="2:7">
      <c r="B40" s="68"/>
      <c r="F40" s="136"/>
      <c r="G40" s="137"/>
    </row>
    <row r="41" spans="2:7">
      <c r="B41" s="68"/>
      <c r="F41" s="136" t="s">
        <v>71</v>
      </c>
      <c r="G41" s="137"/>
    </row>
    <row r="42" spans="2:7">
      <c r="B42" s="68"/>
      <c r="F42" s="138" t="s">
        <v>20</v>
      </c>
      <c r="G42" s="139">
        <v>0</v>
      </c>
    </row>
    <row r="43" spans="2:7">
      <c r="B43" s="68"/>
      <c r="F43" s="138" t="s">
        <v>21</v>
      </c>
      <c r="G43" s="240">
        <f>+Costos!D20</f>
        <v>908.75643367092823</v>
      </c>
    </row>
    <row r="44" spans="2:7">
      <c r="B44" s="68"/>
      <c r="F44" s="140" t="s">
        <v>70</v>
      </c>
      <c r="G44" s="241">
        <f>+G42+G43</f>
        <v>908.75643367092823</v>
      </c>
    </row>
    <row r="45" spans="2:7">
      <c r="B45" s="68"/>
      <c r="F45" s="137"/>
      <c r="G45" s="142"/>
    </row>
    <row r="46" spans="2:7">
      <c r="B46" s="68"/>
      <c r="F46" s="39" t="s">
        <v>72</v>
      </c>
      <c r="G46" s="142"/>
    </row>
    <row r="47" spans="2:7">
      <c r="B47" s="68"/>
      <c r="F47" s="138" t="s">
        <v>68</v>
      </c>
      <c r="G47" s="139">
        <f>+'Tráfico y costos TPP'!E16</f>
        <v>5215402618.3335047</v>
      </c>
    </row>
    <row r="48" spans="2:7">
      <c r="B48" s="68"/>
      <c r="F48" s="140" t="s">
        <v>70</v>
      </c>
      <c r="G48" s="141">
        <f>+G47</f>
        <v>5215402618.3335047</v>
      </c>
    </row>
    <row r="49" spans="2:7">
      <c r="B49" s="68"/>
      <c r="F49" s="143"/>
      <c r="G49" s="144"/>
    </row>
    <row r="50" spans="2:7" ht="15">
      <c r="B50" s="68"/>
      <c r="F50" s="145" t="s">
        <v>119</v>
      </c>
      <c r="G50" s="242">
        <f>+G44/G48</f>
        <v>1.7424473241555917E-7</v>
      </c>
    </row>
    <row r="51" spans="2:7">
      <c r="B51" s="68"/>
      <c r="F51" s="102"/>
      <c r="G51" s="103"/>
    </row>
    <row r="52" spans="2:7" ht="15.75">
      <c r="B52" s="68"/>
      <c r="F52" s="146" t="s">
        <v>69</v>
      </c>
      <c r="G52" s="243">
        <f>+G37+G50</f>
        <v>2.9559726887135474E-4</v>
      </c>
    </row>
    <row r="53" spans="2:7">
      <c r="B53" s="68"/>
      <c r="F53" s="102"/>
      <c r="G53" s="103"/>
    </row>
    <row r="54" spans="2:7" ht="15.75">
      <c r="B54" s="68"/>
      <c r="F54" s="146" t="s">
        <v>121</v>
      </c>
      <c r="G54" s="243">
        <f>+G52*sMargCostCom</f>
        <v>2.9559726887135477E-5</v>
      </c>
    </row>
    <row r="55" spans="2:7">
      <c r="B55" s="68"/>
      <c r="F55" s="102"/>
      <c r="G55" s="103"/>
    </row>
    <row r="56" spans="2:7" ht="18">
      <c r="B56" s="68"/>
      <c r="F56" s="147" t="s">
        <v>122</v>
      </c>
      <c r="G56" s="244">
        <f>+G54+G52</f>
        <v>3.251569957584902E-4</v>
      </c>
    </row>
    <row r="57" spans="2:7">
      <c r="B57" s="68"/>
    </row>
    <row r="58" spans="2:7">
      <c r="B58" s="68"/>
    </row>
    <row r="59" spans="2:7">
      <c r="B59" s="68"/>
    </row>
    <row r="60" spans="2:7">
      <c r="B60" s="68"/>
    </row>
    <row r="61" spans="2:7" ht="18">
      <c r="B61" s="67" t="s">
        <v>42</v>
      </c>
      <c r="C61" s="148">
        <f>+'Tráfico y costos TPP'!D31</f>
        <v>9.2200000000000004E-2</v>
      </c>
      <c r="D61" s="149"/>
    </row>
    <row r="63" spans="2:7">
      <c r="C63" s="36"/>
    </row>
    <row r="67" spans="6:6">
      <c r="F67" s="37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 enableFormatConditionsCalculation="0">
    <tabColor indexed="37"/>
  </sheetPr>
  <dimension ref="B13:W70"/>
  <sheetViews>
    <sheetView showGridLines="0" zoomScaleNormal="100" workbookViewId="0"/>
  </sheetViews>
  <sheetFormatPr baseColWidth="10" defaultColWidth="9.140625" defaultRowHeight="12.75"/>
  <cols>
    <col min="3" max="3" width="34.140625" customWidth="1"/>
    <col min="4" max="4" width="18.140625" customWidth="1"/>
    <col min="5" max="5" width="72" bestFit="1" customWidth="1"/>
    <col min="6" max="6" width="28.85546875" customWidth="1"/>
    <col min="7" max="7" width="20" bestFit="1" customWidth="1"/>
    <col min="8" max="8" width="24.5703125" customWidth="1"/>
    <col min="9" max="9" width="15.28515625" bestFit="1" customWidth="1"/>
    <col min="10" max="10" width="14.28515625" bestFit="1" customWidth="1"/>
    <col min="11" max="12" width="12.85546875" bestFit="1" customWidth="1"/>
    <col min="13" max="13" width="14.28515625" bestFit="1" customWidth="1"/>
  </cols>
  <sheetData>
    <row r="13" spans="2:8" ht="20.25">
      <c r="B13" s="1"/>
      <c r="C13" s="1" t="s">
        <v>53</v>
      </c>
      <c r="D13" s="1"/>
      <c r="E13" s="1"/>
      <c r="F13" s="1"/>
    </row>
    <row r="14" spans="2:8">
      <c r="C14" s="31"/>
      <c r="E14" s="31"/>
    </row>
    <row r="15" spans="2:8">
      <c r="C15" s="51" t="s">
        <v>4</v>
      </c>
      <c r="D15" s="52" t="s">
        <v>15</v>
      </c>
      <c r="E15" s="31"/>
    </row>
    <row r="16" spans="2:8">
      <c r="C16" s="140" t="s">
        <v>67</v>
      </c>
      <c r="D16" s="138"/>
      <c r="E16" s="112"/>
      <c r="G16" s="92"/>
      <c r="H16" s="95"/>
    </row>
    <row r="17" spans="2:23">
      <c r="C17" s="150" t="s">
        <v>20</v>
      </c>
      <c r="D17" s="265">
        <f>+F32</f>
        <v>1064478.8397084195</v>
      </c>
      <c r="E17" s="113"/>
      <c r="G17" s="92"/>
      <c r="H17" s="95"/>
    </row>
    <row r="18" spans="2:23">
      <c r="C18" s="150" t="s">
        <v>21</v>
      </c>
      <c r="D18" s="265">
        <f>+F39</f>
        <v>697190.36349841743</v>
      </c>
      <c r="E18" s="113"/>
      <c r="G18" s="92"/>
      <c r="H18" s="95"/>
    </row>
    <row r="19" spans="2:23">
      <c r="C19" s="140" t="s">
        <v>68</v>
      </c>
      <c r="D19" s="151"/>
      <c r="E19" s="113"/>
      <c r="G19" s="92"/>
      <c r="H19" s="95"/>
    </row>
    <row r="20" spans="2:23">
      <c r="C20" s="150" t="s">
        <v>21</v>
      </c>
      <c r="D20" s="239">
        <f>+F54+F60+F69</f>
        <v>908.75643367092823</v>
      </c>
      <c r="G20" s="92"/>
      <c r="H20" s="95"/>
    </row>
    <row r="21" spans="2:23">
      <c r="C21" s="39"/>
      <c r="G21" s="92"/>
      <c r="H21" s="95"/>
    </row>
    <row r="22" spans="2:23">
      <c r="G22" s="92"/>
      <c r="H22" s="95"/>
    </row>
    <row r="23" spans="2:23" s="10" customFormat="1" ht="20.25">
      <c r="B23" s="5"/>
      <c r="C23" s="1"/>
      <c r="D23" s="1" t="s">
        <v>37</v>
      </c>
      <c r="E23" s="1"/>
      <c r="F23" s="1"/>
      <c r="G23" s="108"/>
      <c r="L23" s="33"/>
      <c r="M23" s="33"/>
      <c r="N23" s="33"/>
      <c r="O23" s="33"/>
      <c r="P23" s="33"/>
      <c r="Q23" s="33"/>
      <c r="R23" s="31"/>
      <c r="S23" s="31"/>
      <c r="T23" s="31"/>
      <c r="U23" s="31"/>
      <c r="V23" s="31"/>
    </row>
    <row r="24" spans="2:23">
      <c r="G24" s="94"/>
      <c r="H24" s="94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  <row r="25" spans="2:23" ht="20.25">
      <c r="D25" s="1"/>
      <c r="E25" s="1" t="s">
        <v>20</v>
      </c>
      <c r="F25" s="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2:23">
      <c r="D26" s="1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2:23">
      <c r="C27" s="11"/>
      <c r="D27" s="60"/>
      <c r="E27" s="18" t="s">
        <v>14</v>
      </c>
      <c r="F27" s="18" t="s">
        <v>19</v>
      </c>
      <c r="L27" s="31"/>
      <c r="M27" s="34"/>
      <c r="N27" s="46"/>
      <c r="O27" s="31"/>
      <c r="P27" s="31"/>
      <c r="Q27" s="31"/>
      <c r="R27" s="31"/>
      <c r="S27" s="31"/>
      <c r="T27" s="31"/>
      <c r="U27" s="31"/>
      <c r="V27" s="31"/>
      <c r="W27" s="31"/>
    </row>
    <row r="28" spans="2:23">
      <c r="C28" s="11"/>
      <c r="D28" s="76"/>
      <c r="E28" s="78" t="s">
        <v>47</v>
      </c>
      <c r="F28" s="267">
        <f>+F29</f>
        <v>918961.86496037245</v>
      </c>
      <c r="L28" s="31"/>
      <c r="M28" s="34"/>
      <c r="N28" s="46"/>
      <c r="O28" s="31"/>
      <c r="P28" s="31"/>
      <c r="Q28" s="31"/>
      <c r="R28" s="31"/>
      <c r="S28" s="31"/>
      <c r="T28" s="31"/>
      <c r="U28" s="31"/>
      <c r="V28" s="31"/>
      <c r="W28" s="31"/>
    </row>
    <row r="29" spans="2:23">
      <c r="E29" s="72" t="s">
        <v>154</v>
      </c>
      <c r="F29" s="266">
        <f>+Anualidades!G25</f>
        <v>918961.86496037245</v>
      </c>
      <c r="G29" s="106"/>
      <c r="H29" s="93"/>
      <c r="L29" s="31"/>
      <c r="M29" s="47"/>
      <c r="N29" s="48"/>
      <c r="O29" s="31"/>
      <c r="P29" s="31"/>
      <c r="Q29" s="31"/>
      <c r="R29" s="31"/>
      <c r="S29" s="31"/>
      <c r="T29" s="31"/>
      <c r="U29" s="31"/>
      <c r="V29" s="31"/>
      <c r="W29" s="31"/>
    </row>
    <row r="30" spans="2:23">
      <c r="D30" s="94"/>
      <c r="E30" s="69" t="s">
        <v>48</v>
      </c>
      <c r="F30" s="268">
        <f>+F31</f>
        <v>145516.97474804716</v>
      </c>
      <c r="G30" s="106"/>
    </row>
    <row r="31" spans="2:23">
      <c r="E31" s="72" t="s">
        <v>155</v>
      </c>
      <c r="F31" s="266">
        <f>+Anualidades!G26</f>
        <v>145516.97474804716</v>
      </c>
      <c r="G31" s="106"/>
    </row>
    <row r="32" spans="2:23">
      <c r="E32" s="75" t="s">
        <v>49</v>
      </c>
      <c r="F32" s="268">
        <f>+F28+F30</f>
        <v>1064478.8397084195</v>
      </c>
      <c r="G32" s="106"/>
    </row>
    <row r="33" spans="2:21" ht="12" customHeight="1">
      <c r="D33" s="11"/>
      <c r="E33" s="62"/>
      <c r="F33" s="77"/>
      <c r="G33" s="10"/>
    </row>
    <row r="34" spans="2:21">
      <c r="E34" s="32"/>
      <c r="F34" s="59"/>
      <c r="G34" s="107"/>
    </row>
    <row r="35" spans="2:21" ht="20.25">
      <c r="D35" s="1"/>
      <c r="E35" s="1" t="s">
        <v>21</v>
      </c>
      <c r="F35" s="1"/>
      <c r="G35" s="108"/>
    </row>
    <row r="36" spans="2:21">
      <c r="D36" s="11"/>
      <c r="E36" s="11"/>
      <c r="G36" s="109"/>
    </row>
    <row r="37" spans="2:21">
      <c r="D37" s="11"/>
      <c r="E37" s="71" t="s">
        <v>45</v>
      </c>
      <c r="F37" s="71" t="s">
        <v>44</v>
      </c>
      <c r="G37" s="10"/>
    </row>
    <row r="38" spans="2:21">
      <c r="D38" s="11"/>
      <c r="E38" s="127" t="s">
        <v>156</v>
      </c>
      <c r="F38" s="263">
        <f>+Anualidades!E31</f>
        <v>697190.36349841743</v>
      </c>
      <c r="G38" s="106"/>
    </row>
    <row r="39" spans="2:21">
      <c r="D39" s="11"/>
      <c r="E39" s="70" t="s">
        <v>16</v>
      </c>
      <c r="F39" s="264">
        <f>+F38</f>
        <v>697190.36349841743</v>
      </c>
      <c r="G39" s="106"/>
    </row>
    <row r="40" spans="2:21">
      <c r="D40" s="11"/>
      <c r="G40" s="10"/>
    </row>
    <row r="41" spans="2:21" s="10" customFormat="1" ht="20.25">
      <c r="B41" s="5"/>
      <c r="C41" s="1"/>
      <c r="D41" s="1" t="s">
        <v>40</v>
      </c>
      <c r="E41" s="1"/>
      <c r="F41" s="1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2:21" s="3" customFormat="1"/>
    <row r="43" spans="2:21" s="3" customFormat="1" ht="20.25">
      <c r="D43" s="152"/>
      <c r="E43" s="152" t="s">
        <v>78</v>
      </c>
      <c r="F43" s="152"/>
    </row>
    <row r="44" spans="2:21" s="3" customFormat="1">
      <c r="D44" s="12"/>
    </row>
    <row r="45" spans="2:21" s="3" customFormat="1" ht="25.5">
      <c r="D45" s="12"/>
      <c r="E45" s="153" t="s">
        <v>79</v>
      </c>
      <c r="F45" s="260">
        <f>'INPUT DIMENSIONAM PLAT'!$O$24</f>
        <v>0.21428571428571427</v>
      </c>
    </row>
    <row r="46" spans="2:21" s="3" customFormat="1" ht="25.5">
      <c r="D46" s="12"/>
      <c r="E46" s="153" t="s">
        <v>80</v>
      </c>
      <c r="F46" s="260">
        <f>'INPUT DIMENSIONAM PLAT'!$O$24</f>
        <v>0.21428571428571427</v>
      </c>
    </row>
    <row r="47" spans="2:21" s="3" customFormat="1">
      <c r="D47" s="12"/>
    </row>
    <row r="48" spans="2:21" s="3" customFormat="1" ht="20.25">
      <c r="D48" s="1"/>
      <c r="E48" s="1" t="s">
        <v>39</v>
      </c>
      <c r="F48" s="1"/>
    </row>
    <row r="49" spans="2:21" s="3" customFormat="1">
      <c r="D49" s="12"/>
    </row>
    <row r="50" spans="2:21" s="3" customFormat="1">
      <c r="D50" s="12"/>
    </row>
    <row r="51" spans="2:21">
      <c r="C51" s="11"/>
      <c r="D51" s="61"/>
      <c r="E51" s="51" t="s">
        <v>4</v>
      </c>
      <c r="F51" s="52" t="s">
        <v>23</v>
      </c>
    </row>
    <row r="52" spans="2:21">
      <c r="E52" s="53" t="s">
        <v>52</v>
      </c>
      <c r="F52" s="249">
        <f>(+'Tráfico y costos TPP'!F29*('Tráfico y costos TPP'!D30*12))*F45</f>
        <v>52.325134603069195</v>
      </c>
      <c r="G52" s="104"/>
      <c r="H52" s="10"/>
    </row>
    <row r="53" spans="2:21" ht="45" customHeight="1">
      <c r="E53" s="54" t="s">
        <v>38</v>
      </c>
      <c r="F53" s="238">
        <f>'Tráfico y costos TPP'!Q41*F46</f>
        <v>2.5616090699935961</v>
      </c>
      <c r="G53" s="104"/>
      <c r="H53" s="114"/>
    </row>
    <row r="54" spans="2:21">
      <c r="D54" s="7"/>
      <c r="E54" s="30" t="s">
        <v>43</v>
      </c>
      <c r="F54" s="237">
        <f>+SUM(F52:F53)</f>
        <v>54.886743673062789</v>
      </c>
      <c r="G54" s="10"/>
      <c r="H54" s="10"/>
    </row>
    <row r="55" spans="2:21">
      <c r="D55" s="11"/>
      <c r="E55" s="62"/>
      <c r="F55" s="63"/>
    </row>
    <row r="56" spans="2:21" ht="20.25">
      <c r="D56" s="1"/>
      <c r="E56" s="1" t="s">
        <v>22</v>
      </c>
      <c r="F56" s="1"/>
    </row>
    <row r="58" spans="2:21">
      <c r="C58" s="11"/>
      <c r="E58" s="51" t="s">
        <v>4</v>
      </c>
      <c r="F58" s="52" t="s">
        <v>23</v>
      </c>
    </row>
    <row r="59" spans="2:21">
      <c r="E59" s="53" t="s">
        <v>22</v>
      </c>
      <c r="F59" s="154">
        <v>0</v>
      </c>
    </row>
    <row r="60" spans="2:21">
      <c r="E60" s="30" t="s">
        <v>43</v>
      </c>
      <c r="F60" s="155">
        <f>+F59</f>
        <v>0</v>
      </c>
    </row>
    <row r="61" spans="2:21" s="10" customFormat="1" ht="12.75" customHeight="1">
      <c r="B61" s="5"/>
      <c r="C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2:21" ht="20.25">
      <c r="D62" s="1"/>
      <c r="E62" s="65" t="s">
        <v>62</v>
      </c>
      <c r="F62" s="65"/>
    </row>
    <row r="63" spans="2:21">
      <c r="C63" s="11"/>
      <c r="D63" s="11"/>
      <c r="E63" s="66"/>
      <c r="F63" s="64"/>
    </row>
    <row r="64" spans="2:21">
      <c r="D64" s="61"/>
      <c r="E64" s="49" t="s">
        <v>4</v>
      </c>
      <c r="F64" s="50" t="s">
        <v>50</v>
      </c>
    </row>
    <row r="65" spans="4:7">
      <c r="D65" s="11"/>
      <c r="E65" s="85" t="s">
        <v>56</v>
      </c>
      <c r="F65" s="155">
        <v>0</v>
      </c>
      <c r="G65" s="104"/>
    </row>
    <row r="66" spans="4:7">
      <c r="D66" s="11"/>
      <c r="E66" s="87" t="s">
        <v>34</v>
      </c>
      <c r="F66" s="246">
        <f>+'Tráfico y costos TPP'!P51*F45</f>
        <v>853.86968999786541</v>
      </c>
      <c r="G66" s="10"/>
    </row>
    <row r="67" spans="4:7">
      <c r="D67" s="11"/>
      <c r="E67" s="86" t="s">
        <v>57</v>
      </c>
      <c r="F67" s="247">
        <f>+F66</f>
        <v>853.86968999786541</v>
      </c>
      <c r="G67" s="104"/>
    </row>
    <row r="68" spans="4:7">
      <c r="D68" s="11"/>
      <c r="E68" s="86" t="s">
        <v>63</v>
      </c>
      <c r="F68" s="105">
        <v>0</v>
      </c>
      <c r="G68" s="104"/>
    </row>
    <row r="69" spans="4:7">
      <c r="E69" s="86" t="s">
        <v>43</v>
      </c>
      <c r="F69" s="247">
        <f>+SUM(F67,F65,F68)</f>
        <v>853.86968999786541</v>
      </c>
      <c r="G69" s="10"/>
    </row>
    <row r="70" spans="4:7">
      <c r="G70" s="10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 enableFormatConditionsCalculation="0">
    <tabColor indexed="34"/>
  </sheetPr>
  <dimension ref="B12:AB41"/>
  <sheetViews>
    <sheetView showGridLines="0" zoomScale="85" workbookViewId="0"/>
  </sheetViews>
  <sheetFormatPr baseColWidth="10" defaultColWidth="9.140625" defaultRowHeight="12.75"/>
  <cols>
    <col min="3" max="3" width="33.140625" customWidth="1"/>
    <col min="4" max="4" width="23.140625" customWidth="1"/>
    <col min="5" max="5" width="18.42578125" customWidth="1"/>
    <col min="6" max="6" width="17.28515625" customWidth="1"/>
    <col min="7" max="7" width="25.85546875" customWidth="1"/>
    <col min="8" max="8" width="21.140625" customWidth="1"/>
    <col min="9" max="10" width="17.28515625" customWidth="1"/>
    <col min="11" max="11" width="18.42578125" bestFit="1" customWidth="1"/>
    <col min="12" max="12" width="15.42578125" customWidth="1"/>
    <col min="14" max="14" width="18" bestFit="1" customWidth="1"/>
    <col min="15" max="15" width="20.85546875" bestFit="1" customWidth="1"/>
    <col min="16" max="16" width="15.42578125" bestFit="1" customWidth="1"/>
    <col min="17" max="17" width="46.28515625" bestFit="1" customWidth="1"/>
    <col min="18" max="18" width="28.42578125" bestFit="1" customWidth="1"/>
    <col min="19" max="19" width="20.5703125" bestFit="1" customWidth="1"/>
    <col min="20" max="20" width="31" bestFit="1" customWidth="1"/>
    <col min="21" max="21" width="33.85546875" customWidth="1"/>
    <col min="22" max="22" width="39.85546875" bestFit="1" customWidth="1"/>
    <col min="23" max="23" width="18.7109375" bestFit="1" customWidth="1"/>
    <col min="29" max="29" width="11.7109375" bestFit="1" customWidth="1"/>
  </cols>
  <sheetData>
    <row r="12" spans="23:28">
      <c r="W12" s="94"/>
      <c r="Y12" s="94"/>
      <c r="AB12" s="94"/>
    </row>
    <row r="13" spans="23:28">
      <c r="W13" s="94"/>
      <c r="Y13" s="94"/>
      <c r="AB13" s="94"/>
    </row>
    <row r="14" spans="23:28">
      <c r="W14" s="94"/>
      <c r="Y14" s="94"/>
      <c r="AB14" s="94"/>
    </row>
    <row r="15" spans="23:28">
      <c r="W15" s="94"/>
      <c r="Y15" s="94"/>
      <c r="AB15" s="94"/>
    </row>
    <row r="16" spans="23:28">
      <c r="W16" s="94"/>
      <c r="Y16" s="94"/>
      <c r="AB16" s="94"/>
    </row>
    <row r="17" spans="2:28" ht="30">
      <c r="B17" s="156" t="s">
        <v>148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7"/>
      <c r="X17" s="156"/>
      <c r="Y17" s="157"/>
      <c r="Z17" s="156"/>
      <c r="AA17" s="156"/>
      <c r="AB17" s="157"/>
    </row>
    <row r="18" spans="2:28">
      <c r="W18" s="94"/>
      <c r="Y18" s="94"/>
      <c r="AB18" s="94"/>
    </row>
    <row r="19" spans="2:28">
      <c r="W19" s="94"/>
      <c r="Y19" s="94"/>
      <c r="AB19" s="94"/>
    </row>
    <row r="20" spans="2:28" ht="31.5">
      <c r="C20" s="158" t="s">
        <v>115</v>
      </c>
      <c r="D20" s="261">
        <f>+'INPUT DIMENSIONAM PLAT'!$O$24</f>
        <v>0.21428571428571427</v>
      </c>
      <c r="E20" s="128"/>
      <c r="F20" s="128"/>
      <c r="G20" s="128"/>
      <c r="H20" s="128"/>
      <c r="W20" s="94"/>
      <c r="Y20" s="94"/>
      <c r="AB20" s="94"/>
    </row>
    <row r="21" spans="2:28">
      <c r="C21" s="128"/>
      <c r="D21" s="128"/>
      <c r="E21" s="128"/>
      <c r="F21" s="128"/>
      <c r="G21" s="128"/>
      <c r="H21" s="128"/>
      <c r="W21" s="94"/>
      <c r="Y21" s="94"/>
      <c r="AB21" s="94"/>
    </row>
    <row r="22" spans="2:28">
      <c r="C22" s="128"/>
      <c r="D22" s="128"/>
      <c r="E22" s="128"/>
      <c r="F22" s="128"/>
      <c r="G22" s="128"/>
      <c r="H22" s="128"/>
      <c r="W22" s="94"/>
      <c r="Y22" s="94"/>
      <c r="AB22" s="94"/>
    </row>
    <row r="23" spans="2:28" ht="15.75">
      <c r="C23" s="159" t="s">
        <v>149</v>
      </c>
      <c r="D23" s="128"/>
      <c r="E23" s="128"/>
      <c r="F23" s="128"/>
      <c r="G23" s="128"/>
      <c r="H23" s="128"/>
      <c r="W23" s="94"/>
      <c r="Y23" s="94"/>
      <c r="AB23" s="94"/>
    </row>
    <row r="24" spans="2:28" ht="31.5">
      <c r="C24" s="160" t="s">
        <v>66</v>
      </c>
      <c r="D24" s="160" t="s">
        <v>150</v>
      </c>
      <c r="E24" s="160" t="s">
        <v>151</v>
      </c>
      <c r="F24" s="160" t="s">
        <v>20</v>
      </c>
      <c r="G24" s="160" t="s">
        <v>152</v>
      </c>
      <c r="H24" s="128"/>
      <c r="W24" s="94"/>
      <c r="Y24" s="94"/>
      <c r="AB24" s="94"/>
    </row>
    <row r="25" spans="2:28">
      <c r="C25" s="138" t="s">
        <v>154</v>
      </c>
      <c r="D25" s="276">
        <f>+'INPUT COSTEO PLATAFORMA'!D45</f>
        <v>13926124.446629927</v>
      </c>
      <c r="E25" s="139">
        <f>+VLOOKUP(sVU,'INPUT-ANUALIZACION'!$A$6:$B$35,2,FALSE)</f>
        <v>0.30794559675116245</v>
      </c>
      <c r="F25" s="262">
        <f>+D25*E25</f>
        <v>4288488.7031484051</v>
      </c>
      <c r="G25" s="262">
        <f>+F25*$D$20</f>
        <v>918961.86496037245</v>
      </c>
      <c r="H25" s="128"/>
      <c r="W25" s="94"/>
      <c r="Y25" s="94"/>
      <c r="AB25" s="94"/>
    </row>
    <row r="26" spans="2:28">
      <c r="C26" s="138" t="s">
        <v>155</v>
      </c>
      <c r="D26" s="161">
        <f>+'INPUT COSTEO PLATAFORMA'!D46</f>
        <v>2205192.1594437389</v>
      </c>
      <c r="E26" s="139">
        <f>+VLOOKUP(sVU,'INPUT-ANUALIZACION'!$A$6:$B$35,2,FALSE)</f>
        <v>0.30794559675116245</v>
      </c>
      <c r="F26" s="162">
        <f>+D26*E26</f>
        <v>679079.21549088671</v>
      </c>
      <c r="G26" s="262">
        <f>+F26*$D$20</f>
        <v>145516.97474804716</v>
      </c>
      <c r="H26" s="128"/>
      <c r="W26" s="94"/>
      <c r="Y26" s="94"/>
      <c r="AB26" s="94"/>
    </row>
    <row r="27" spans="2:28">
      <c r="C27" s="128"/>
      <c r="D27" s="128"/>
      <c r="E27" s="128"/>
      <c r="F27" s="128"/>
      <c r="G27" s="128"/>
      <c r="H27" s="128"/>
      <c r="W27" s="94"/>
      <c r="Y27" s="94"/>
      <c r="AB27" s="94"/>
    </row>
    <row r="28" spans="2:28">
      <c r="C28" s="128"/>
      <c r="D28" s="128"/>
      <c r="E28" s="128"/>
      <c r="F28" s="128"/>
      <c r="G28" s="128"/>
      <c r="H28" s="128"/>
      <c r="W28" s="94"/>
      <c r="Y28" s="94"/>
      <c r="AB28" s="94"/>
    </row>
    <row r="29" spans="2:28" ht="15.75">
      <c r="C29" s="159" t="s">
        <v>21</v>
      </c>
      <c r="D29" s="163"/>
      <c r="E29" s="163"/>
      <c r="F29" s="128"/>
      <c r="G29" s="128"/>
      <c r="H29" s="128"/>
      <c r="W29" s="94"/>
      <c r="Y29" s="94"/>
      <c r="AB29" s="94"/>
    </row>
    <row r="30" spans="2:28" ht="31.5">
      <c r="C30" s="160" t="s">
        <v>66</v>
      </c>
      <c r="D30" s="160" t="s">
        <v>21</v>
      </c>
      <c r="E30" s="160" t="s">
        <v>153</v>
      </c>
      <c r="F30" s="128"/>
      <c r="G30" s="128"/>
      <c r="H30" s="128"/>
      <c r="W30" s="94"/>
      <c r="Y30" s="94"/>
      <c r="AB30" s="94"/>
    </row>
    <row r="31" spans="2:28">
      <c r="C31" s="164" t="s">
        <v>84</v>
      </c>
      <c r="D31" s="277">
        <f>+'INPUT COSTEO PLATAFORMA'!D47</f>
        <v>3253555.0296592815</v>
      </c>
      <c r="E31" s="262">
        <f>+D31*$D$20</f>
        <v>697190.36349841743</v>
      </c>
      <c r="F31" s="128"/>
      <c r="G31" s="128"/>
      <c r="H31" s="128"/>
      <c r="W31" s="94"/>
      <c r="Y31" s="94"/>
      <c r="AB31" s="94"/>
    </row>
    <row r="32" spans="2:28">
      <c r="C32" s="10"/>
      <c r="D32" s="10"/>
      <c r="E32" s="10"/>
      <c r="F32" s="10"/>
      <c r="G32" s="10"/>
      <c r="H32" s="10"/>
      <c r="W32" s="94"/>
      <c r="Y32" s="94"/>
      <c r="AB32" s="94"/>
    </row>
    <row r="33" spans="3:28">
      <c r="C33" s="10"/>
      <c r="D33" s="10"/>
      <c r="E33" s="10"/>
      <c r="F33" s="10"/>
      <c r="G33" s="10"/>
      <c r="H33" s="10"/>
      <c r="W33" s="94"/>
      <c r="Y33" s="94"/>
      <c r="AB33" s="94"/>
    </row>
    <row r="34" spans="3:28">
      <c r="C34" s="10"/>
      <c r="D34" s="10"/>
      <c r="E34" s="10"/>
      <c r="F34" s="10"/>
      <c r="G34" s="10"/>
      <c r="H34" s="10"/>
      <c r="W34" s="94"/>
      <c r="Y34" s="94"/>
      <c r="AB34" s="94"/>
    </row>
    <row r="35" spans="3:28">
      <c r="W35" s="94"/>
      <c r="Y35" s="94"/>
      <c r="AB35" s="94"/>
    </row>
    <row r="36" spans="3:28">
      <c r="W36" s="94"/>
      <c r="Y36" s="94"/>
      <c r="AB36" s="94"/>
    </row>
    <row r="37" spans="3:28">
      <c r="W37" s="94"/>
      <c r="Y37" s="94"/>
      <c r="AB37" s="94"/>
    </row>
    <row r="38" spans="3:28">
      <c r="W38" s="94"/>
      <c r="Y38" s="94"/>
      <c r="AB38" s="94"/>
    </row>
    <row r="41" spans="3:28">
      <c r="E41" s="79"/>
      <c r="F41" s="79"/>
      <c r="G41" s="79"/>
      <c r="H41" s="79"/>
      <c r="I41" s="79"/>
      <c r="J41" s="79"/>
      <c r="N41" s="79"/>
      <c r="O41" s="79"/>
      <c r="P41" s="79"/>
      <c r="Q41" s="79"/>
      <c r="R41" s="79"/>
      <c r="S41" s="79"/>
    </row>
  </sheetData>
  <dataConsolidate/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70C0"/>
  </sheetPr>
  <dimension ref="A5:B35"/>
  <sheetViews>
    <sheetView workbookViewId="0"/>
  </sheetViews>
  <sheetFormatPr baseColWidth="10" defaultRowHeight="12.75"/>
  <cols>
    <col min="2" max="2" width="22.28515625" customWidth="1"/>
  </cols>
  <sheetData>
    <row r="5" spans="1:2" ht="25.5">
      <c r="A5" s="165" t="s">
        <v>85</v>
      </c>
      <c r="B5" s="165" t="s">
        <v>117</v>
      </c>
    </row>
    <row r="6" spans="1:2">
      <c r="A6" s="166">
        <v>2</v>
      </c>
      <c r="B6" s="167">
        <f>1+WACC</f>
        <v>1.1217999999999999</v>
      </c>
    </row>
    <row r="7" spans="1:2">
      <c r="A7" s="166">
        <v>3</v>
      </c>
      <c r="B7" s="167">
        <f>(WACC*(1-1/(9*(1+WACC)^2)))/(1-1/(1+WACC)^2)</f>
        <v>0.54073151517055784</v>
      </c>
    </row>
    <row r="8" spans="1:2">
      <c r="A8" s="166">
        <v>4</v>
      </c>
      <c r="B8" s="167">
        <f>(WACC*(1-1/(8*(1+WACC)^3)))/(1-1/(1+WACC)^3)</f>
        <v>0.38065772376007784</v>
      </c>
    </row>
    <row r="9" spans="1:2">
      <c r="A9" s="166">
        <v>5</v>
      </c>
      <c r="B9" s="167">
        <f>(WACC*(1-27/(250*(1+WACC)^4)))/(1-1/(1+WACC)^4)</f>
        <v>0.30794559675116245</v>
      </c>
    </row>
    <row r="10" spans="1:2">
      <c r="A10" s="166">
        <v>6</v>
      </c>
      <c r="B10" s="167">
        <f>(WACC*(1-8/(81*(1+WACC)^5)))/(1-1/(1+WACC)^5)</f>
        <v>0.26315666569991103</v>
      </c>
    </row>
    <row r="11" spans="1:2">
      <c r="A11" s="166">
        <v>7</v>
      </c>
      <c r="B11" s="167">
        <f>(WACC*(1-1250/(7203*(1+WACC)^5)))/(1-1/(1+WACC)^5)</f>
        <v>0.25142862639774749</v>
      </c>
    </row>
    <row r="12" spans="1:2">
      <c r="A12" s="166">
        <v>8</v>
      </c>
      <c r="B12" s="167">
        <f>(WACC*(1-243/(1024*(1+WACC)^5)))/(1-1/(1+WACC)^5)</f>
        <v>0.24142708728652171</v>
      </c>
    </row>
    <row r="13" spans="1:2">
      <c r="A13" s="166">
        <v>9</v>
      </c>
      <c r="B13" s="167">
        <f>(WACC*(1-16807/(59049*(1+WACC)^5)))/(1-1/(1+WACC)^5)</f>
        <v>0.23400452623213711</v>
      </c>
    </row>
    <row r="14" spans="1:2">
      <c r="A14" s="166">
        <v>10</v>
      </c>
      <c r="B14" s="167">
        <f>(WACC*(1-1024/(3125*(1+WACC)^5)))/(1-1/(1+WACC)^5)</f>
        <v>0.22725191770071915</v>
      </c>
    </row>
    <row r="15" spans="1:2">
      <c r="A15" s="166">
        <v>11</v>
      </c>
      <c r="B15" s="167">
        <f>(WACC*(1-59049/(161051*(1+WACC)^5)))/(1-1/(1+WACC)^5)</f>
        <v>0.22113989869392248</v>
      </c>
    </row>
    <row r="16" spans="1:2">
      <c r="A16" s="166">
        <v>12</v>
      </c>
      <c r="B16" s="167">
        <f>(WACC*(1-3125/(7776*(1+WACC)^5)))/(1-1/(1+WACC)^5)</f>
        <v>0.2156141912343445</v>
      </c>
    </row>
    <row r="17" spans="1:2">
      <c r="A17" s="166">
        <v>13</v>
      </c>
      <c r="B17" s="167">
        <f>(WACC*(1-161051/(371293*(1+WACC)^5)))/(1-1/(1+WACC)^5)</f>
        <v>0.21061394658689914</v>
      </c>
    </row>
    <row r="18" spans="1:2">
      <c r="A18" s="166">
        <v>14</v>
      </c>
      <c r="B18" s="167">
        <f>(WACC*(1-7776/(16807*(1+WACC)^5)))/(1-1/(1+WACC)^5)</f>
        <v>0.20607991588860777</v>
      </c>
    </row>
    <row r="19" spans="1:2">
      <c r="A19" s="166">
        <v>15</v>
      </c>
      <c r="B19" s="167">
        <f>(WACC*(1-371293/(759375*(1+WACC)^5)))/(1-1/(1+WACC)^5)</f>
        <v>0.20195777539821425</v>
      </c>
    </row>
    <row r="20" spans="1:2">
      <c r="A20" s="166">
        <v>16</v>
      </c>
      <c r="B20" s="167">
        <f>(WACC*(1-16807/(32768*(1+WACC)^5)))/(1-1/(1+WACC)^5)</f>
        <v>0.19819916534011578</v>
      </c>
    </row>
    <row r="21" spans="1:2">
      <c r="A21" s="166">
        <v>17</v>
      </c>
      <c r="B21" s="167">
        <f>(WACC*(1-759375/(1419857*(1+WACC)^5)))/(1-1/(1+WACC)^5)</f>
        <v>0.19476168090147047</v>
      </c>
    </row>
    <row r="22" spans="1:2">
      <c r="A22" s="166">
        <v>18</v>
      </c>
      <c r="B22" s="167">
        <f>(WACC*(1-32768/(59049*(1+WACC)^5)))/(1-1/(1+WACC)^5)</f>
        <v>0.19160841707084883</v>
      </c>
    </row>
    <row r="23" spans="1:2">
      <c r="A23" s="166">
        <v>19</v>
      </c>
      <c r="B23" s="167">
        <f>(WACC*(1-1419857/(2476099*(1+WACC)^5)))/(1-1/(1+WACC)^5)</f>
        <v>0.18870735770904506</v>
      </c>
    </row>
    <row r="24" spans="1:2">
      <c r="A24" s="166">
        <v>20</v>
      </c>
      <c r="B24" s="167">
        <f>(WACC*(1-59049/(100000*(1+WACC)^5)))/(1-1/(1+WACC)^5)</f>
        <v>0.18603074550455365</v>
      </c>
    </row>
    <row r="25" spans="1:2">
      <c r="A25" s="166">
        <v>21</v>
      </c>
      <c r="B25" s="167">
        <f>(WACC*(1-2476099/(4084101*(1+WACC)^5)))/(1-1/(1+WACC)^5)</f>
        <v>0.18355449323783832</v>
      </c>
    </row>
    <row r="26" spans="1:2">
      <c r="A26" s="166">
        <v>22</v>
      </c>
      <c r="B26" s="167">
        <f>(WACC*(1-100000/(161051*(1+WACC)^5)))/(1-1/(1+WACC)^5)</f>
        <v>0.18125765921415915</v>
      </c>
    </row>
    <row r="27" spans="1:2">
      <c r="A27" s="166">
        <v>23</v>
      </c>
      <c r="B27" s="167">
        <f>(WACC*(1-4084101/(6436343*(1+WACC)^5)))/(1-1/(1+WACC)^5)</f>
        <v>0.17912199163062664</v>
      </c>
    </row>
    <row r="28" spans="1:2">
      <c r="A28" s="166">
        <v>24</v>
      </c>
      <c r="B28" s="167">
        <f>(WACC*(1-161051/(248832*(1+WACC)^5)))/(1-1/(1+WACC)^5)</f>
        <v>0.17713153838382872</v>
      </c>
    </row>
    <row r="29" spans="1:2">
      <c r="A29" s="166">
        <v>25</v>
      </c>
      <c r="B29" s="167">
        <f>(WACC*(1-6436343/(9765625*(1+WACC)^5)))/(1-1/(1+WACC)^5)</f>
        <v>0.17527231550179695</v>
      </c>
    </row>
    <row r="30" spans="1:2">
      <c r="A30" s="166">
        <v>26</v>
      </c>
      <c r="B30" s="167">
        <f>(WACC*(1-248832/(371293*(1+WACC)^5)))/(1-1/(1+WACC)^5)</f>
        <v>0.17353202648841934</v>
      </c>
    </row>
    <row r="31" spans="1:2">
      <c r="A31" s="166">
        <v>27</v>
      </c>
      <c r="B31" s="167">
        <f>(WACC*(1-9765625/(14348907*(1+WACC)^5)))/(1-1/(1+WACC)^5)</f>
        <v>0.171899825110994</v>
      </c>
    </row>
    <row r="32" spans="1:2">
      <c r="A32" s="166">
        <v>28</v>
      </c>
      <c r="B32" s="167">
        <f>(WACC*(1-371293/(537824*(1+WACC)^5)))/(1-1/(1+WACC)^5)</f>
        <v>0.17036611488499939</v>
      </c>
    </row>
    <row r="33" spans="1:2">
      <c r="A33" s="166">
        <v>29</v>
      </c>
      <c r="B33" s="167">
        <f>(WACC*(1-14348907/(20511149*(1+WACC)^5)))/(1-1/(1+WACC)^5)</f>
        <v>0.16892237938527571</v>
      </c>
    </row>
    <row r="34" spans="1:2">
      <c r="A34" s="166">
        <v>30</v>
      </c>
      <c r="B34" s="167">
        <f>(WACC*(1-537824/(759375*(1+WACC)^5)))/(1-1/(1+WACC)^5)</f>
        <v>0.16756103838170741</v>
      </c>
    </row>
    <row r="35" spans="1:2">
      <c r="A35" s="166">
        <v>31</v>
      </c>
      <c r="B35" s="167">
        <f>(WACC*(1-20511149/(28629151*(1+WACC)^5)))/(1-1/(1+WACC)^5)</f>
        <v>0.1662753255907139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4" enableFormatConditionsCalculation="0">
    <tabColor indexed="33"/>
  </sheetPr>
  <dimension ref="B12:Q56"/>
  <sheetViews>
    <sheetView showGridLines="0" zoomScaleNormal="100" workbookViewId="0"/>
  </sheetViews>
  <sheetFormatPr baseColWidth="10" defaultColWidth="9.140625" defaultRowHeight="12.75"/>
  <cols>
    <col min="2" max="2" width="4.7109375" customWidth="1"/>
    <col min="3" max="3" width="66.85546875" bestFit="1" customWidth="1"/>
    <col min="4" max="4" width="28.42578125" bestFit="1" customWidth="1"/>
    <col min="5" max="5" width="26" customWidth="1"/>
    <col min="6" max="6" width="28.28515625" customWidth="1"/>
    <col min="7" max="15" width="16.28515625" bestFit="1" customWidth="1"/>
    <col min="16" max="16" width="17.85546875" bestFit="1" customWidth="1"/>
    <col min="17" max="17" width="13.140625" bestFit="1" customWidth="1"/>
  </cols>
  <sheetData>
    <row r="12" spans="2:16" ht="20.25">
      <c r="B12" s="16"/>
      <c r="C12" s="168" t="s">
        <v>123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4" spans="2:16">
      <c r="D14" s="99"/>
    </row>
    <row r="15" spans="2:16" ht="25.5">
      <c r="C15" s="140" t="s">
        <v>66</v>
      </c>
      <c r="D15" s="165" t="s">
        <v>67</v>
      </c>
      <c r="E15" s="165" t="s">
        <v>68</v>
      </c>
      <c r="F15" s="165" t="s">
        <v>73</v>
      </c>
      <c r="G15" s="165" t="s">
        <v>74</v>
      </c>
    </row>
    <row r="16" spans="2:16">
      <c r="C16" s="140" t="s">
        <v>75</v>
      </c>
      <c r="D16" s="169">
        <v>5963208887.8025761</v>
      </c>
      <c r="E16" s="170">
        <v>5215402618.3335047</v>
      </c>
      <c r="F16" s="170">
        <v>2417875507.8493605</v>
      </c>
      <c r="G16" s="170">
        <v>2797527110.4841437</v>
      </c>
    </row>
    <row r="17" spans="2:16">
      <c r="C17" s="140" t="s">
        <v>76</v>
      </c>
      <c r="D17" s="169">
        <v>1023734276</v>
      </c>
      <c r="E17" s="139"/>
      <c r="F17" s="170"/>
      <c r="G17" s="170"/>
    </row>
    <row r="18" spans="2:16">
      <c r="C18" s="140" t="s">
        <v>77</v>
      </c>
      <c r="D18" s="169">
        <v>3808125</v>
      </c>
      <c r="E18" s="139"/>
      <c r="F18" s="170"/>
      <c r="G18" s="170"/>
    </row>
    <row r="19" spans="2:16">
      <c r="C19" s="115"/>
      <c r="D19" s="115"/>
      <c r="F19" s="94"/>
    </row>
    <row r="20" spans="2:16">
      <c r="F20" s="94"/>
    </row>
    <row r="22" spans="2:16">
      <c r="D22" s="40"/>
      <c r="H22" s="40"/>
      <c r="J22" s="40"/>
    </row>
    <row r="23" spans="2:16" ht="20.25">
      <c r="B23" s="16"/>
      <c r="C23" s="16" t="s">
        <v>61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38" customFormat="1" ht="13.5" customHeight="1">
      <c r="C24" s="171"/>
      <c r="D24" s="171"/>
      <c r="E24" s="171"/>
      <c r="F24" s="171"/>
      <c r="G24" s="172"/>
      <c r="H24" s="171"/>
      <c r="I24" s="171"/>
      <c r="J24" s="171"/>
      <c r="K24" s="171"/>
      <c r="L24" s="171"/>
      <c r="M24" s="171"/>
      <c r="N24" s="171"/>
      <c r="O24" s="171"/>
      <c r="P24" s="171"/>
    </row>
    <row r="25" spans="2:16">
      <c r="D25" s="91"/>
      <c r="E25" s="91"/>
      <c r="F25" s="91"/>
    </row>
    <row r="26" spans="2:16" s="6" customFormat="1" ht="20.25">
      <c r="B26" s="1"/>
      <c r="C26" s="1" t="s">
        <v>3</v>
      </c>
      <c r="D26" s="1"/>
      <c r="E26" s="1"/>
      <c r="F26" s="1"/>
    </row>
    <row r="27" spans="2:16" s="3" customFormat="1" ht="12" customHeight="1"/>
    <row r="28" spans="2:16" s="3" customFormat="1">
      <c r="C28" s="55" t="s">
        <v>4</v>
      </c>
      <c r="D28" s="56" t="s">
        <v>9</v>
      </c>
      <c r="E28" s="57" t="s">
        <v>5</v>
      </c>
      <c r="F28" s="57" t="s">
        <v>59</v>
      </c>
    </row>
    <row r="29" spans="2:16" s="3" customFormat="1" ht="15">
      <c r="B29" s="120"/>
      <c r="C29" s="15" t="s">
        <v>51</v>
      </c>
      <c r="D29" s="27">
        <v>6.1280000000000001E-2</v>
      </c>
      <c r="E29" s="28" t="s">
        <v>6</v>
      </c>
      <c r="F29" s="29">
        <f>+D29/'Tipos de cambio'!$W$18</f>
        <v>2.0348663456749131E-2</v>
      </c>
    </row>
    <row r="30" spans="2:16" s="3" customFormat="1" ht="15">
      <c r="B30" s="121"/>
      <c r="C30" s="88" t="s">
        <v>7</v>
      </c>
      <c r="D30" s="248">
        <v>1000</v>
      </c>
      <c r="E30" s="89" t="s">
        <v>58</v>
      </c>
      <c r="F30" s="26"/>
    </row>
    <row r="31" spans="2:16" s="3" customFormat="1" ht="15.75">
      <c r="B31" s="120"/>
      <c r="C31" s="24" t="s">
        <v>8</v>
      </c>
      <c r="D31" s="173">
        <v>9.2200000000000004E-2</v>
      </c>
      <c r="E31" s="25"/>
      <c r="F31" s="9"/>
    </row>
    <row r="32" spans="2:16" s="3" customFormat="1"/>
    <row r="33" spans="2:17" s="3" customFormat="1"/>
    <row r="34" spans="2:17" s="3" customFormat="1" ht="20.25">
      <c r="B34" s="1"/>
      <c r="C34" s="1" t="s">
        <v>34</v>
      </c>
      <c r="D34" s="1"/>
      <c r="E34" s="1"/>
      <c r="F34" s="1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</row>
    <row r="35" spans="2:17" s="3" customFormat="1"/>
    <row r="36" spans="2:17" s="6" customFormat="1" ht="20.25">
      <c r="C36" s="1" t="s">
        <v>32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8" spans="2:17">
      <c r="C38" s="74" t="s">
        <v>24</v>
      </c>
      <c r="D38" s="82">
        <v>39814</v>
      </c>
      <c r="E38" s="82">
        <v>39845</v>
      </c>
      <c r="F38" s="82">
        <v>39873</v>
      </c>
      <c r="G38" s="82">
        <v>39904</v>
      </c>
      <c r="H38" s="82">
        <v>39934</v>
      </c>
      <c r="I38" s="82">
        <v>39965</v>
      </c>
      <c r="J38" s="82">
        <v>39995</v>
      </c>
      <c r="K38" s="82">
        <v>40026</v>
      </c>
      <c r="L38" s="82">
        <v>40057</v>
      </c>
      <c r="M38" s="82">
        <v>40087</v>
      </c>
      <c r="N38" s="82">
        <v>40118</v>
      </c>
      <c r="O38" s="83">
        <v>40148</v>
      </c>
      <c r="P38" s="73" t="s">
        <v>16</v>
      </c>
      <c r="Q38" s="73" t="s">
        <v>55</v>
      </c>
    </row>
    <row r="39" spans="2:17">
      <c r="C39" s="80" t="s">
        <v>25</v>
      </c>
      <c r="D39" s="223">
        <v>1</v>
      </c>
      <c r="E39" s="223">
        <v>1</v>
      </c>
      <c r="F39" s="223">
        <v>1</v>
      </c>
      <c r="G39" s="223">
        <v>1</v>
      </c>
      <c r="H39" s="223">
        <v>1</v>
      </c>
      <c r="I39" s="223">
        <v>1</v>
      </c>
      <c r="J39" s="223">
        <v>1</v>
      </c>
      <c r="K39" s="223">
        <v>1</v>
      </c>
      <c r="L39" s="223">
        <v>1</v>
      </c>
      <c r="M39" s="223">
        <v>1</v>
      </c>
      <c r="N39" s="223">
        <v>1</v>
      </c>
      <c r="O39" s="226">
        <v>1</v>
      </c>
      <c r="P39" s="229">
        <f>SUM(D39:O39)</f>
        <v>12</v>
      </c>
      <c r="Q39" s="84"/>
    </row>
    <row r="40" spans="2:17">
      <c r="C40" s="43" t="s">
        <v>26</v>
      </c>
      <c r="D40" s="224">
        <v>3</v>
      </c>
      <c r="E40" s="224">
        <v>3</v>
      </c>
      <c r="F40" s="224">
        <v>3</v>
      </c>
      <c r="G40" s="224">
        <v>3</v>
      </c>
      <c r="H40" s="224">
        <v>3</v>
      </c>
      <c r="I40" s="224">
        <v>3</v>
      </c>
      <c r="J40" s="224">
        <v>3</v>
      </c>
      <c r="K40" s="224">
        <v>3</v>
      </c>
      <c r="L40" s="224">
        <v>3</v>
      </c>
      <c r="M40" s="224">
        <v>3</v>
      </c>
      <c r="N40" s="224">
        <v>3</v>
      </c>
      <c r="O40" s="227">
        <v>3</v>
      </c>
      <c r="P40" s="44"/>
      <c r="Q40" s="44"/>
    </row>
    <row r="41" spans="2:17">
      <c r="C41" s="45" t="s">
        <v>27</v>
      </c>
      <c r="D41" s="225">
        <v>3</v>
      </c>
      <c r="E41" s="225">
        <v>3</v>
      </c>
      <c r="F41" s="225">
        <v>3</v>
      </c>
      <c r="G41" s="225">
        <v>3</v>
      </c>
      <c r="H41" s="225">
        <v>3</v>
      </c>
      <c r="I41" s="225">
        <v>3</v>
      </c>
      <c r="J41" s="225">
        <v>3</v>
      </c>
      <c r="K41" s="225">
        <v>3</v>
      </c>
      <c r="L41" s="225">
        <v>3</v>
      </c>
      <c r="M41" s="225">
        <v>3</v>
      </c>
      <c r="N41" s="225">
        <v>3</v>
      </c>
      <c r="O41" s="228">
        <v>3</v>
      </c>
      <c r="P41" s="228">
        <f>SUM(D41:O41)</f>
        <v>36</v>
      </c>
      <c r="Q41" s="230">
        <f>+P41/'Tipos de cambio'!$W$18</f>
        <v>11.954175659970115</v>
      </c>
    </row>
    <row r="43" spans="2:17" s="6" customFormat="1" ht="20.25">
      <c r="C43" s="1" t="s">
        <v>33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17" s="3" customFormat="1"/>
    <row r="45" spans="2:17">
      <c r="C45" s="74" t="s">
        <v>36</v>
      </c>
      <c r="D45" s="82">
        <v>39814</v>
      </c>
      <c r="E45" s="82">
        <v>39845</v>
      </c>
      <c r="F45" s="82">
        <v>39873</v>
      </c>
      <c r="G45" s="82">
        <v>39904</v>
      </c>
      <c r="H45" s="82">
        <v>39934</v>
      </c>
      <c r="I45" s="82">
        <v>39965</v>
      </c>
      <c r="J45" s="82">
        <v>39995</v>
      </c>
      <c r="K45" s="82">
        <v>40026</v>
      </c>
      <c r="L45" s="82">
        <v>40057</v>
      </c>
      <c r="M45" s="82">
        <v>40087</v>
      </c>
      <c r="N45" s="82">
        <v>40118</v>
      </c>
      <c r="O45" s="83">
        <v>40148</v>
      </c>
      <c r="P45" s="83" t="s">
        <v>16</v>
      </c>
    </row>
    <row r="46" spans="2:17">
      <c r="C46" s="80" t="s">
        <v>28</v>
      </c>
      <c r="D46" s="223">
        <v>1</v>
      </c>
      <c r="E46" s="223">
        <v>1</v>
      </c>
      <c r="F46" s="223">
        <v>1</v>
      </c>
      <c r="G46" s="223">
        <v>1</v>
      </c>
      <c r="H46" s="223">
        <v>1</v>
      </c>
      <c r="I46" s="223">
        <v>1</v>
      </c>
      <c r="J46" s="223">
        <v>1</v>
      </c>
      <c r="K46" s="223">
        <v>1</v>
      </c>
      <c r="L46" s="223">
        <v>1</v>
      </c>
      <c r="M46" s="223">
        <v>20</v>
      </c>
      <c r="N46" s="223">
        <v>1</v>
      </c>
      <c r="O46" s="226">
        <v>1</v>
      </c>
      <c r="P46" s="81"/>
    </row>
    <row r="47" spans="2:17">
      <c r="C47" s="42" t="s">
        <v>29</v>
      </c>
      <c r="D47" s="231">
        <v>500</v>
      </c>
      <c r="E47" s="231">
        <v>500</v>
      </c>
      <c r="F47" s="231">
        <v>500</v>
      </c>
      <c r="G47" s="231">
        <v>500</v>
      </c>
      <c r="H47" s="231">
        <v>500</v>
      </c>
      <c r="I47" s="231">
        <v>500</v>
      </c>
      <c r="J47" s="231">
        <v>500</v>
      </c>
      <c r="K47" s="231">
        <v>500</v>
      </c>
      <c r="L47" s="231">
        <v>500</v>
      </c>
      <c r="M47" s="231">
        <v>500</v>
      </c>
      <c r="N47" s="231">
        <v>500</v>
      </c>
      <c r="O47" s="232">
        <v>500</v>
      </c>
      <c r="P47" s="41"/>
    </row>
    <row r="48" spans="2:17">
      <c r="C48" s="42" t="s">
        <v>30</v>
      </c>
      <c r="D48" s="233">
        <f>+D46*D47</f>
        <v>500</v>
      </c>
      <c r="E48" s="233">
        <f t="shared" ref="E48:O48" si="0">+E46*E47</f>
        <v>500</v>
      </c>
      <c r="F48" s="231">
        <f t="shared" si="0"/>
        <v>500</v>
      </c>
      <c r="G48" s="231">
        <f t="shared" si="0"/>
        <v>500</v>
      </c>
      <c r="H48" s="231">
        <f t="shared" si="0"/>
        <v>500</v>
      </c>
      <c r="I48" s="231">
        <f t="shared" si="0"/>
        <v>500</v>
      </c>
      <c r="J48" s="231">
        <f t="shared" si="0"/>
        <v>500</v>
      </c>
      <c r="K48" s="231">
        <f t="shared" si="0"/>
        <v>500</v>
      </c>
      <c r="L48" s="231">
        <f t="shared" si="0"/>
        <v>500</v>
      </c>
      <c r="M48" s="231">
        <v>500</v>
      </c>
      <c r="N48" s="231">
        <f t="shared" si="0"/>
        <v>500</v>
      </c>
      <c r="O48" s="232">
        <f t="shared" si="0"/>
        <v>500</v>
      </c>
      <c r="P48" s="232">
        <f>SUM(D48:O48)</f>
        <v>6000</v>
      </c>
    </row>
    <row r="49" spans="3:16">
      <c r="C49" s="43" t="s">
        <v>31</v>
      </c>
      <c r="D49" s="224">
        <v>500</v>
      </c>
      <c r="E49" s="224">
        <v>500</v>
      </c>
      <c r="F49" s="224">
        <v>500</v>
      </c>
      <c r="G49" s="224">
        <v>500</v>
      </c>
      <c r="H49" s="224">
        <v>500</v>
      </c>
      <c r="I49" s="224">
        <v>500</v>
      </c>
      <c r="J49" s="224">
        <v>500</v>
      </c>
      <c r="K49" s="224">
        <v>500</v>
      </c>
      <c r="L49" s="224">
        <v>500</v>
      </c>
      <c r="M49" s="224">
        <v>500</v>
      </c>
      <c r="N49" s="224">
        <v>500</v>
      </c>
      <c r="O49" s="227">
        <v>500</v>
      </c>
      <c r="P49" s="234">
        <f>+SUM(D49:O49)</f>
        <v>6000</v>
      </c>
    </row>
    <row r="50" spans="3:16">
      <c r="C50" s="45" t="s">
        <v>16</v>
      </c>
      <c r="D50" s="235">
        <f>+D48+D49</f>
        <v>1000</v>
      </c>
      <c r="E50" s="235">
        <f t="shared" ref="E50:O50" si="1">+E48+E49</f>
        <v>1000</v>
      </c>
      <c r="F50" s="225">
        <f t="shared" si="1"/>
        <v>1000</v>
      </c>
      <c r="G50" s="225">
        <f t="shared" si="1"/>
        <v>1000</v>
      </c>
      <c r="H50" s="225">
        <f t="shared" si="1"/>
        <v>1000</v>
      </c>
      <c r="I50" s="225">
        <f t="shared" si="1"/>
        <v>1000</v>
      </c>
      <c r="J50" s="225">
        <f t="shared" si="1"/>
        <v>1000</v>
      </c>
      <c r="K50" s="225">
        <f t="shared" si="1"/>
        <v>1000</v>
      </c>
      <c r="L50" s="225">
        <f t="shared" si="1"/>
        <v>1000</v>
      </c>
      <c r="M50" s="225">
        <f t="shared" si="1"/>
        <v>1000</v>
      </c>
      <c r="N50" s="225">
        <f t="shared" si="1"/>
        <v>1000</v>
      </c>
      <c r="O50" s="228">
        <f t="shared" si="1"/>
        <v>1000</v>
      </c>
      <c r="P50" s="228">
        <f>+SUM(D50:O50)</f>
        <v>12000</v>
      </c>
    </row>
    <row r="51" spans="3:16">
      <c r="C51" s="45" t="s">
        <v>35</v>
      </c>
      <c r="D51" s="236">
        <f>+D50/'Tipos de cambio'!$W$18</f>
        <v>332.06043499916984</v>
      </c>
      <c r="E51" s="236">
        <f>+E50/'Tipos de cambio'!$W$18</f>
        <v>332.06043499916984</v>
      </c>
      <c r="F51" s="236">
        <f>+F50/'Tipos de cambio'!$W$18</f>
        <v>332.06043499916984</v>
      </c>
      <c r="G51" s="236">
        <f>+G50/'Tipos de cambio'!$W$18</f>
        <v>332.06043499916984</v>
      </c>
      <c r="H51" s="236">
        <f>+H50/'Tipos de cambio'!$W$18</f>
        <v>332.06043499916984</v>
      </c>
      <c r="I51" s="236">
        <f>+I50/'Tipos de cambio'!$W$18</f>
        <v>332.06043499916984</v>
      </c>
      <c r="J51" s="236">
        <f>+J50/'Tipos de cambio'!$W$18</f>
        <v>332.06043499916984</v>
      </c>
      <c r="K51" s="236">
        <f>+K50/'Tipos de cambio'!$W$18</f>
        <v>332.06043499916984</v>
      </c>
      <c r="L51" s="236">
        <f>+L50/'Tipos de cambio'!$W$18</f>
        <v>332.06043499916984</v>
      </c>
      <c r="M51" s="236">
        <f>+M50/'Tipos de cambio'!$W$18</f>
        <v>332.06043499916984</v>
      </c>
      <c r="N51" s="236">
        <f>+N50/'Tipos de cambio'!$W$18</f>
        <v>332.06043499916984</v>
      </c>
      <c r="O51" s="237">
        <f>+O50/'Tipos de cambio'!$W$18</f>
        <v>332.06043499916984</v>
      </c>
      <c r="P51" s="237">
        <f>+P50/'Tipos de cambio'!$W$18</f>
        <v>3984.7252199900386</v>
      </c>
    </row>
    <row r="52" spans="3:16" s="3" customFormat="1"/>
    <row r="53" spans="3:16"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3:16">
      <c r="D54" s="90"/>
      <c r="E54" s="90"/>
      <c r="F54" s="90"/>
      <c r="G54" s="90"/>
      <c r="H54" s="90"/>
      <c r="I54" s="90"/>
    </row>
    <row r="56" spans="3:16">
      <c r="N56" s="79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70C0"/>
  </sheetPr>
  <dimension ref="A1:J23"/>
  <sheetViews>
    <sheetView workbookViewId="0"/>
  </sheetViews>
  <sheetFormatPr baseColWidth="10" defaultRowHeight="15"/>
  <cols>
    <col min="1" max="2" width="11.42578125" style="100"/>
    <col min="3" max="3" width="30.42578125" style="100" customWidth="1"/>
    <col min="4" max="4" width="12.7109375" style="100" bestFit="1" customWidth="1"/>
    <col min="5" max="7" width="15.28515625" style="100" bestFit="1" customWidth="1"/>
    <col min="8" max="8" width="13.7109375" style="100" customWidth="1"/>
    <col min="9" max="9" width="11.42578125" style="100"/>
    <col min="10" max="10" width="13.7109375" style="100" bestFit="1" customWidth="1"/>
    <col min="11" max="16384" width="11.42578125" style="100"/>
  </cols>
  <sheetData>
    <row r="1" spans="1:10" ht="67.5" customHeight="1">
      <c r="A1" s="116"/>
      <c r="B1" s="116"/>
      <c r="C1" s="279" t="s">
        <v>86</v>
      </c>
      <c r="D1" s="279"/>
      <c r="E1" s="126"/>
      <c r="F1" s="126"/>
      <c r="G1" s="126"/>
      <c r="H1" s="116"/>
      <c r="I1" s="116"/>
      <c r="J1" s="126"/>
    </row>
    <row r="2" spans="1:10">
      <c r="A2" s="116"/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5.75">
      <c r="A3" s="116"/>
      <c r="B3" s="116"/>
      <c r="C3" s="278" t="s">
        <v>87</v>
      </c>
      <c r="D3" s="278"/>
      <c r="E3" s="116"/>
      <c r="F3" s="101"/>
      <c r="G3" s="116"/>
      <c r="H3" s="118"/>
      <c r="I3" s="116"/>
      <c r="J3" s="116"/>
    </row>
    <row r="4" spans="1:10">
      <c r="A4" s="116"/>
      <c r="B4" s="116"/>
      <c r="C4" s="116"/>
      <c r="D4" s="116"/>
      <c r="E4" s="116"/>
      <c r="F4" s="101"/>
      <c r="G4" s="118"/>
      <c r="H4" s="118"/>
      <c r="I4" s="116"/>
      <c r="J4" s="118"/>
    </row>
    <row r="5" spans="1:10">
      <c r="A5" s="116"/>
      <c r="B5" s="116"/>
      <c r="C5" s="176" t="s">
        <v>88</v>
      </c>
      <c r="D5" s="116"/>
      <c r="E5" s="116"/>
      <c r="F5" s="101"/>
      <c r="G5" s="118"/>
      <c r="H5" s="118"/>
      <c r="I5" s="116"/>
      <c r="J5" s="118"/>
    </row>
    <row r="6" spans="1:10" ht="10.5" customHeight="1">
      <c r="A6" s="116"/>
      <c r="B6" s="116"/>
      <c r="C6" s="176"/>
      <c r="D6" s="116"/>
      <c r="E6" s="116"/>
      <c r="F6" s="101"/>
      <c r="G6" s="118"/>
      <c r="H6" s="118"/>
      <c r="I6" s="116"/>
      <c r="J6" s="118"/>
    </row>
    <row r="7" spans="1:10">
      <c r="A7" s="116"/>
      <c r="B7" s="116"/>
      <c r="C7" s="116" t="s">
        <v>161</v>
      </c>
      <c r="D7" s="116"/>
      <c r="E7" s="116"/>
      <c r="F7" s="101"/>
      <c r="G7" s="118"/>
      <c r="H7" s="118"/>
      <c r="I7" s="116"/>
      <c r="J7" s="118"/>
    </row>
    <row r="8" spans="1:10" ht="15.75">
      <c r="A8" s="116"/>
      <c r="B8" s="116"/>
      <c r="C8" s="177" t="s">
        <v>162</v>
      </c>
      <c r="D8" s="178">
        <v>2785224.8893259852</v>
      </c>
      <c r="E8" s="116"/>
      <c r="F8" s="125"/>
      <c r="G8" s="119"/>
      <c r="H8" s="119"/>
      <c r="I8" s="116"/>
      <c r="J8" s="119"/>
    </row>
    <row r="9" spans="1:10" ht="10.5" customHeight="1">
      <c r="A9" s="116"/>
      <c r="B9" s="116"/>
      <c r="C9" s="101"/>
      <c r="D9" s="179"/>
      <c r="E9" s="116"/>
      <c r="F9" s="125"/>
      <c r="G9" s="119"/>
      <c r="H9" s="119"/>
      <c r="I9" s="116"/>
      <c r="J9" s="119"/>
    </row>
    <row r="10" spans="1:10">
      <c r="A10" s="116"/>
      <c r="B10" s="116"/>
      <c r="C10" s="101" t="s">
        <v>89</v>
      </c>
      <c r="D10" s="116"/>
      <c r="E10" s="116"/>
      <c r="F10" s="101"/>
      <c r="G10" s="118"/>
      <c r="H10" s="118"/>
      <c r="I10" s="116"/>
      <c r="J10" s="118"/>
    </row>
    <row r="11" spans="1:10" ht="15.75">
      <c r="A11" s="116"/>
      <c r="B11" s="116"/>
      <c r="C11" s="177" t="s">
        <v>163</v>
      </c>
      <c r="D11" s="178">
        <v>2205192.1594437389</v>
      </c>
      <c r="E11" s="116"/>
      <c r="F11" s="125"/>
      <c r="G11" s="119"/>
      <c r="H11" s="119"/>
      <c r="I11" s="116"/>
      <c r="J11" s="119"/>
    </row>
    <row r="12" spans="1:10" ht="10.5" customHeight="1">
      <c r="A12" s="116"/>
      <c r="B12" s="116"/>
      <c r="C12" s="101"/>
      <c r="D12" s="179"/>
      <c r="E12" s="116"/>
      <c r="F12" s="125"/>
      <c r="G12" s="119"/>
      <c r="H12" s="119"/>
      <c r="I12" s="116"/>
      <c r="J12" s="119"/>
    </row>
    <row r="13" spans="1:10">
      <c r="A13" s="116"/>
      <c r="B13" s="116"/>
      <c r="C13" s="116" t="s">
        <v>161</v>
      </c>
      <c r="D13" s="116"/>
      <c r="E13" s="116"/>
      <c r="F13" s="101"/>
      <c r="G13" s="118"/>
      <c r="H13" s="118"/>
      <c r="I13" s="116"/>
      <c r="J13" s="118"/>
    </row>
    <row r="14" spans="1:10" ht="15.75">
      <c r="A14" s="116"/>
      <c r="B14" s="116"/>
      <c r="C14" s="177" t="s">
        <v>164</v>
      </c>
      <c r="D14" s="178">
        <v>650711.00593185634</v>
      </c>
      <c r="E14" s="116"/>
      <c r="F14" s="125"/>
      <c r="G14" s="119"/>
      <c r="H14" s="119"/>
      <c r="I14" s="116"/>
      <c r="J14" s="119"/>
    </row>
    <row r="15" spans="1:10">
      <c r="A15" s="116"/>
      <c r="B15" s="116"/>
      <c r="C15" s="116"/>
      <c r="D15" s="116"/>
      <c r="E15" s="116"/>
      <c r="F15" s="101"/>
      <c r="G15" s="118"/>
      <c r="H15" s="118"/>
      <c r="I15" s="116"/>
      <c r="J15" s="118"/>
    </row>
    <row r="16" spans="1:10">
      <c r="A16" s="116"/>
      <c r="B16" s="116"/>
      <c r="C16" s="176" t="s">
        <v>90</v>
      </c>
      <c r="D16" s="116"/>
      <c r="E16" s="116"/>
      <c r="F16" s="101"/>
      <c r="G16" s="118"/>
      <c r="H16" s="118"/>
      <c r="I16" s="116"/>
      <c r="J16" s="118"/>
    </row>
    <row r="17" spans="1:10">
      <c r="A17" s="116"/>
      <c r="B17" s="116"/>
      <c r="C17" s="177" t="s">
        <v>124</v>
      </c>
      <c r="D17" s="178">
        <v>5000000</v>
      </c>
      <c r="E17" s="116"/>
      <c r="F17" s="101"/>
      <c r="G17" s="116"/>
      <c r="H17" s="116"/>
      <c r="I17" s="116"/>
      <c r="J17" s="116"/>
    </row>
    <row r="18" spans="1:10">
      <c r="A18" s="116"/>
      <c r="B18" s="116"/>
      <c r="C18" s="177" t="s">
        <v>125</v>
      </c>
      <c r="D18" s="178">
        <v>4280000</v>
      </c>
      <c r="E18" s="180"/>
      <c r="F18" s="101"/>
      <c r="G18" s="116"/>
      <c r="H18" s="116"/>
      <c r="I18" s="116"/>
      <c r="J18" s="116"/>
    </row>
    <row r="19" spans="1:10">
      <c r="A19" s="116"/>
      <c r="B19" s="116"/>
      <c r="C19" s="177" t="s">
        <v>126</v>
      </c>
      <c r="D19" s="178">
        <v>3427200</v>
      </c>
      <c r="E19" s="116"/>
      <c r="F19" s="116"/>
      <c r="G19" s="116"/>
      <c r="H19" s="116"/>
      <c r="I19" s="116"/>
      <c r="J19" s="116"/>
    </row>
    <row r="20" spans="1:10">
      <c r="A20" s="116"/>
      <c r="B20" s="116"/>
      <c r="C20" s="116"/>
      <c r="D20" s="116"/>
      <c r="E20" s="116"/>
      <c r="F20" s="116"/>
      <c r="G20" s="116"/>
      <c r="H20" s="116"/>
      <c r="I20" s="116"/>
      <c r="J20" s="116"/>
    </row>
    <row r="21" spans="1:10">
      <c r="A21" s="116"/>
      <c r="B21" s="116"/>
      <c r="C21" s="116"/>
      <c r="D21" s="116"/>
      <c r="E21" s="116"/>
      <c r="F21" s="116"/>
      <c r="G21" s="116"/>
      <c r="H21" s="116"/>
      <c r="I21" s="116"/>
      <c r="J21" s="116"/>
    </row>
    <row r="22" spans="1:10">
      <c r="A22" s="116"/>
      <c r="B22" s="116"/>
      <c r="C22" s="116"/>
      <c r="D22" s="116"/>
      <c r="E22" s="116"/>
      <c r="F22" s="116"/>
      <c r="G22" s="116"/>
      <c r="H22" s="116"/>
      <c r="I22" s="116"/>
      <c r="J22" s="116"/>
    </row>
    <row r="23" spans="1:10">
      <c r="A23" s="116"/>
      <c r="B23" s="116"/>
      <c r="C23" s="116"/>
      <c r="D23" s="116"/>
      <c r="E23" s="116"/>
      <c r="F23" s="116"/>
      <c r="G23" s="116"/>
      <c r="H23" s="116"/>
      <c r="I23" s="116"/>
      <c r="J23" s="116"/>
    </row>
  </sheetData>
  <mergeCells count="2">
    <mergeCell ref="C3:D3"/>
    <mergeCell ref="C1:D1"/>
  </mergeCells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70C0"/>
  </sheetPr>
  <dimension ref="A1:E50"/>
  <sheetViews>
    <sheetView zoomScale="80" zoomScaleNormal="80" workbookViewId="0"/>
  </sheetViews>
  <sheetFormatPr baseColWidth="10" defaultRowHeight="12.75"/>
  <cols>
    <col min="3" max="3" width="54.7109375" customWidth="1"/>
    <col min="4" max="4" width="21.140625" customWidth="1"/>
  </cols>
  <sheetData>
    <row r="1" spans="1:5">
      <c r="A1" s="10"/>
      <c r="B1" s="10"/>
      <c r="C1" s="10"/>
      <c r="D1" s="10"/>
      <c r="E1" s="10"/>
    </row>
    <row r="2" spans="1:5">
      <c r="A2" s="10"/>
      <c r="B2" s="10"/>
      <c r="C2" s="10"/>
      <c r="D2" s="10"/>
      <c r="E2" s="10"/>
    </row>
    <row r="3" spans="1:5">
      <c r="A3" s="10"/>
      <c r="B3" s="10"/>
      <c r="C3" s="10"/>
      <c r="D3" s="10"/>
      <c r="E3" s="10"/>
    </row>
    <row r="4" spans="1:5" ht="15">
      <c r="A4" s="10"/>
      <c r="B4" s="10"/>
      <c r="C4" s="181" t="s">
        <v>127</v>
      </c>
      <c r="D4" s="182">
        <v>0.8</v>
      </c>
      <c r="E4" s="10"/>
    </row>
    <row r="5" spans="1:5">
      <c r="A5" s="10"/>
      <c r="B5" s="10"/>
      <c r="C5" s="183"/>
      <c r="D5" s="183"/>
      <c r="E5" s="10"/>
    </row>
    <row r="6" spans="1:5" ht="15.75">
      <c r="A6" s="10"/>
      <c r="B6" s="10"/>
      <c r="C6" s="184" t="s">
        <v>128</v>
      </c>
      <c r="D6" s="184"/>
      <c r="E6" s="10"/>
    </row>
    <row r="7" spans="1:5">
      <c r="A7" s="10"/>
      <c r="B7" s="10"/>
      <c r="C7" s="185"/>
      <c r="D7" s="185"/>
      <c r="E7" s="10"/>
    </row>
    <row r="8" spans="1:5">
      <c r="A8" s="10"/>
      <c r="B8" s="10"/>
      <c r="C8" s="186" t="s">
        <v>141</v>
      </c>
      <c r="D8" s="185"/>
      <c r="E8" s="10"/>
    </row>
    <row r="9" spans="1:5">
      <c r="A9" s="10"/>
      <c r="B9" s="10"/>
      <c r="C9" s="187" t="s">
        <v>81</v>
      </c>
      <c r="D9" s="188">
        <f>SUM(D10:D12)</f>
        <v>15262370</v>
      </c>
      <c r="E9" s="10"/>
    </row>
    <row r="10" spans="1:5">
      <c r="A10" s="10"/>
      <c r="B10" s="10"/>
      <c r="C10" s="189" t="s">
        <v>158</v>
      </c>
      <c r="D10" s="188">
        <v>14371324</v>
      </c>
      <c r="E10" s="190"/>
    </row>
    <row r="11" spans="1:5">
      <c r="A11" s="10"/>
      <c r="B11" s="10"/>
      <c r="C11" s="189" t="s">
        <v>159</v>
      </c>
      <c r="D11" s="188">
        <v>278985</v>
      </c>
      <c r="E11" s="10"/>
    </row>
    <row r="12" spans="1:5">
      <c r="A12" s="10"/>
      <c r="B12" s="10"/>
      <c r="C12" s="189" t="s">
        <v>160</v>
      </c>
      <c r="D12" s="188">
        <v>612061</v>
      </c>
      <c r="E12" s="10"/>
    </row>
    <row r="13" spans="1:5" ht="15">
      <c r="A13" s="10"/>
      <c r="B13" s="10"/>
      <c r="C13" s="181" t="s">
        <v>142</v>
      </c>
      <c r="D13" s="191">
        <f>ROUNDUP(D9/$D$4,0)</f>
        <v>19077963</v>
      </c>
      <c r="E13" s="10"/>
    </row>
    <row r="14" spans="1:5">
      <c r="A14" s="10"/>
      <c r="B14" s="10"/>
      <c r="C14" s="185"/>
      <c r="D14" s="185"/>
      <c r="E14" s="10"/>
    </row>
    <row r="15" spans="1:5" ht="15">
      <c r="A15" s="10"/>
      <c r="B15" s="10"/>
      <c r="C15" s="192" t="s">
        <v>129</v>
      </c>
      <c r="D15" s="192"/>
      <c r="E15" s="10"/>
    </row>
    <row r="16" spans="1:5">
      <c r="A16" s="10"/>
      <c r="B16" s="10"/>
      <c r="C16" s="187" t="s">
        <v>129</v>
      </c>
      <c r="D16" s="270">
        <f>+'INPUT DIMENSIONAM PLAT'!K23</f>
        <v>19</v>
      </c>
      <c r="E16" s="10"/>
    </row>
    <row r="17" spans="1:5" ht="15">
      <c r="A17" s="10"/>
      <c r="B17" s="10"/>
      <c r="C17" s="181" t="s">
        <v>130</v>
      </c>
      <c r="D17" s="271">
        <f>ROUNDUP(D16/$D$4,0)</f>
        <v>24</v>
      </c>
      <c r="E17" s="10"/>
    </row>
    <row r="18" spans="1:5">
      <c r="A18" s="10"/>
      <c r="B18" s="10"/>
      <c r="C18" s="183"/>
      <c r="D18" s="183"/>
      <c r="E18" s="10"/>
    </row>
    <row r="19" spans="1:5" ht="15.75">
      <c r="A19" s="10"/>
      <c r="B19" s="10"/>
      <c r="C19" s="184" t="s">
        <v>131</v>
      </c>
      <c r="D19" s="184"/>
      <c r="E19" s="10"/>
    </row>
    <row r="20" spans="1:5">
      <c r="A20" s="10"/>
      <c r="B20" s="10"/>
      <c r="C20" s="187" t="s">
        <v>132</v>
      </c>
      <c r="D20" s="187">
        <f>ROUNDUP(D13/'INPUT PRECIARIO PLATAFORMA'!D18,0)</f>
        <v>5</v>
      </c>
      <c r="E20" s="10"/>
    </row>
    <row r="21" spans="1:5">
      <c r="A21" s="10"/>
      <c r="B21" s="10"/>
      <c r="C21" s="187" t="s">
        <v>133</v>
      </c>
      <c r="D21" s="272">
        <f>ROUNDUP(D17/'INPUT PRECIARIO PLATAFORMA'!D19,0)</f>
        <v>1</v>
      </c>
      <c r="E21" s="10"/>
    </row>
    <row r="22" spans="1:5" ht="15">
      <c r="A22" s="10"/>
      <c r="B22" s="10"/>
      <c r="C22" s="193" t="s">
        <v>134</v>
      </c>
      <c r="D22" s="273">
        <f>MAX(D20:D21)</f>
        <v>5</v>
      </c>
      <c r="E22" s="10"/>
    </row>
    <row r="23" spans="1:5">
      <c r="A23" s="10"/>
      <c r="B23" s="10"/>
      <c r="C23" s="183"/>
      <c r="D23" s="183"/>
      <c r="E23" s="10"/>
    </row>
    <row r="24" spans="1:5">
      <c r="A24" s="10"/>
      <c r="B24" s="10"/>
      <c r="C24" s="183"/>
      <c r="D24" s="183"/>
      <c r="E24" s="10"/>
    </row>
    <row r="25" spans="1:5" ht="15.75">
      <c r="A25" s="10"/>
      <c r="B25" s="10"/>
      <c r="C25" s="184" t="s">
        <v>135</v>
      </c>
      <c r="D25" s="184"/>
      <c r="E25" s="10"/>
    </row>
    <row r="26" spans="1:5">
      <c r="A26" s="10"/>
      <c r="B26" s="10"/>
      <c r="C26" s="185"/>
      <c r="D26" s="185"/>
      <c r="E26" s="10"/>
    </row>
    <row r="27" spans="1:5" ht="15">
      <c r="A27" s="10"/>
      <c r="B27" s="10"/>
      <c r="C27" s="194" t="s">
        <v>136</v>
      </c>
      <c r="D27" s="185"/>
      <c r="E27" s="10"/>
    </row>
    <row r="28" spans="1:5" ht="15">
      <c r="A28" s="10"/>
      <c r="B28" s="10"/>
      <c r="C28" s="195" t="s">
        <v>137</v>
      </c>
      <c r="D28" s="196">
        <f>+'INPUT PRECIARIO PLATAFORMA'!D8</f>
        <v>2785224.8893259852</v>
      </c>
      <c r="E28" s="10"/>
    </row>
    <row r="29" spans="1:5" ht="15">
      <c r="A29" s="10"/>
      <c r="B29" s="10"/>
      <c r="C29" s="195" t="s">
        <v>138</v>
      </c>
      <c r="D29" s="272">
        <f>+D$22</f>
        <v>5</v>
      </c>
      <c r="E29" s="10"/>
    </row>
    <row r="30" spans="1:5" ht="15">
      <c r="A30" s="10"/>
      <c r="B30" s="10"/>
      <c r="C30" s="194" t="s">
        <v>70</v>
      </c>
      <c r="D30" s="274">
        <f>+D28*D29</f>
        <v>13926124.446629927</v>
      </c>
      <c r="E30" s="10"/>
    </row>
    <row r="31" spans="1:5">
      <c r="A31" s="10"/>
      <c r="B31" s="10"/>
      <c r="C31" s="185"/>
      <c r="D31" s="185"/>
      <c r="E31" s="10"/>
    </row>
    <row r="32" spans="1:5" ht="15">
      <c r="A32" s="10"/>
      <c r="B32" s="10"/>
      <c r="C32" s="194" t="s">
        <v>139</v>
      </c>
      <c r="D32" s="185"/>
      <c r="E32" s="10"/>
    </row>
    <row r="33" spans="1:5" ht="15">
      <c r="A33" s="10"/>
      <c r="B33" s="10"/>
      <c r="C33" s="195" t="s">
        <v>137</v>
      </c>
      <c r="D33" s="196">
        <f>+'INPUT PRECIARIO PLATAFORMA'!D11</f>
        <v>2205192.1594437389</v>
      </c>
      <c r="E33" s="10"/>
    </row>
    <row r="34" spans="1:5" ht="15">
      <c r="A34" s="10"/>
      <c r="B34" s="10"/>
      <c r="C34" s="195" t="s">
        <v>138</v>
      </c>
      <c r="D34" s="187">
        <v>1</v>
      </c>
      <c r="E34" s="10"/>
    </row>
    <row r="35" spans="1:5" ht="15">
      <c r="A35" s="10"/>
      <c r="B35" s="10"/>
      <c r="C35" s="194" t="s">
        <v>70</v>
      </c>
      <c r="D35" s="197">
        <f>+D33*D34</f>
        <v>2205192.1594437389</v>
      </c>
      <c r="E35" s="10"/>
    </row>
    <row r="36" spans="1:5">
      <c r="A36" s="10"/>
      <c r="B36" s="10"/>
      <c r="C36" s="185"/>
      <c r="D36" s="185"/>
      <c r="E36" s="10"/>
    </row>
    <row r="37" spans="1:5" ht="15">
      <c r="A37" s="10"/>
      <c r="B37" s="10"/>
      <c r="C37" s="194" t="s">
        <v>84</v>
      </c>
      <c r="D37" s="185"/>
      <c r="E37" s="10"/>
    </row>
    <row r="38" spans="1:5" ht="15">
      <c r="A38" s="10"/>
      <c r="B38" s="10"/>
      <c r="C38" s="195" t="s">
        <v>137</v>
      </c>
      <c r="D38" s="196">
        <f>+'INPUT PRECIARIO PLATAFORMA'!D14</f>
        <v>650711.00593185634</v>
      </c>
      <c r="E38" s="10"/>
    </row>
    <row r="39" spans="1:5" ht="15">
      <c r="A39" s="10"/>
      <c r="B39" s="10"/>
      <c r="C39" s="195" t="s">
        <v>138</v>
      </c>
      <c r="D39" s="272">
        <f>+D$22</f>
        <v>5</v>
      </c>
      <c r="E39" s="10"/>
    </row>
    <row r="40" spans="1:5" ht="15">
      <c r="A40" s="10"/>
      <c r="B40" s="10"/>
      <c r="C40" s="194" t="s">
        <v>70</v>
      </c>
      <c r="D40" s="274">
        <f>+D38*D39</f>
        <v>3253555.0296592815</v>
      </c>
      <c r="E40" s="10"/>
    </row>
    <row r="41" spans="1:5">
      <c r="A41" s="10"/>
      <c r="B41" s="10"/>
      <c r="C41" s="183"/>
      <c r="D41" s="183"/>
      <c r="E41" s="10"/>
    </row>
    <row r="42" spans="1:5">
      <c r="A42" s="10"/>
      <c r="B42" s="10"/>
      <c r="C42" s="183"/>
      <c r="D42" s="183"/>
      <c r="E42" s="10"/>
    </row>
    <row r="43" spans="1:5" ht="15.75">
      <c r="A43" s="10"/>
      <c r="B43" s="10"/>
      <c r="C43" s="184" t="s">
        <v>82</v>
      </c>
      <c r="D43" s="184"/>
      <c r="E43" s="10"/>
    </row>
    <row r="44" spans="1:5">
      <c r="A44" s="10"/>
      <c r="B44" s="10"/>
      <c r="C44" s="186"/>
      <c r="D44" s="186"/>
      <c r="E44" s="10"/>
    </row>
    <row r="45" spans="1:5">
      <c r="A45" s="10"/>
      <c r="B45" s="10"/>
      <c r="C45" s="198" t="s">
        <v>83</v>
      </c>
      <c r="D45" s="275">
        <f>+D30</f>
        <v>13926124.446629927</v>
      </c>
      <c r="E45" s="10"/>
    </row>
    <row r="46" spans="1:5">
      <c r="A46" s="10"/>
      <c r="B46" s="10"/>
      <c r="C46" s="198" t="s">
        <v>139</v>
      </c>
      <c r="D46" s="199">
        <f>+D35</f>
        <v>2205192.1594437389</v>
      </c>
      <c r="E46" s="10"/>
    </row>
    <row r="47" spans="1:5">
      <c r="A47" s="10"/>
      <c r="B47" s="10"/>
      <c r="C47" s="198" t="s">
        <v>140</v>
      </c>
      <c r="D47" s="275">
        <f>+D40</f>
        <v>3253555.0296592815</v>
      </c>
      <c r="E47" s="10"/>
    </row>
    <row r="48" spans="1:5">
      <c r="A48" s="10"/>
      <c r="B48" s="10"/>
      <c r="C48" s="10"/>
      <c r="D48" s="10"/>
      <c r="E48" s="10"/>
    </row>
    <row r="49" spans="1:5">
      <c r="A49" s="10"/>
      <c r="B49" s="10"/>
      <c r="C49" s="10"/>
      <c r="D49" s="10"/>
      <c r="E49" s="10"/>
    </row>
    <row r="50" spans="1:5">
      <c r="A50" s="10"/>
      <c r="B50" s="10"/>
      <c r="C50" s="10"/>
      <c r="D50" s="10"/>
      <c r="E50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70C0"/>
  </sheetPr>
  <dimension ref="A2:S35"/>
  <sheetViews>
    <sheetView zoomScaleNormal="100" workbookViewId="0"/>
  </sheetViews>
  <sheetFormatPr baseColWidth="10" defaultRowHeight="15"/>
  <cols>
    <col min="1" max="1" width="15.28515625" style="100" bestFit="1" customWidth="1"/>
    <col min="2" max="2" width="23.85546875" style="100" customWidth="1"/>
    <col min="3" max="3" width="17.5703125" style="100" customWidth="1"/>
    <col min="4" max="4" width="13.85546875" style="100" bestFit="1" customWidth="1"/>
    <col min="5" max="5" width="12.7109375" style="100" bestFit="1" customWidth="1"/>
    <col min="6" max="6" width="12.85546875" style="100" bestFit="1" customWidth="1"/>
    <col min="7" max="7" width="13.28515625" style="100" bestFit="1" customWidth="1"/>
    <col min="8" max="8" width="14.42578125" style="100" bestFit="1" customWidth="1"/>
    <col min="9" max="9" width="13.28515625" style="100" bestFit="1" customWidth="1"/>
    <col min="10" max="10" width="12.85546875" style="100" bestFit="1" customWidth="1"/>
    <col min="11" max="11" width="13.28515625" style="100" bestFit="1" customWidth="1"/>
    <col min="12" max="13" width="11.42578125" style="100"/>
    <col min="14" max="14" width="20.42578125" style="100" customWidth="1"/>
    <col min="15" max="15" width="18.42578125" style="100" customWidth="1"/>
    <col min="16" max="16" width="11.42578125" style="100"/>
    <col min="17" max="17" width="20.42578125" style="100" customWidth="1"/>
    <col min="18" max="16384" width="11.42578125" style="100"/>
  </cols>
  <sheetData>
    <row r="2" spans="1:19" ht="21">
      <c r="A2" s="116"/>
      <c r="B2" s="200" t="s">
        <v>143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116"/>
      <c r="N2" s="116"/>
      <c r="O2" s="116"/>
      <c r="P2" s="116"/>
      <c r="Q2" s="116"/>
      <c r="R2" s="116"/>
      <c r="S2" s="116"/>
    </row>
    <row r="3" spans="1:19" ht="15.75">
      <c r="A3" s="116"/>
      <c r="B3" s="174" t="s">
        <v>157</v>
      </c>
      <c r="C3" s="174"/>
      <c r="D3" s="10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</row>
    <row r="6" spans="1:19" ht="30">
      <c r="A6" s="116"/>
      <c r="B6" s="202" t="s">
        <v>116</v>
      </c>
      <c r="C6" s="203">
        <v>7.3999999999999996E-2</v>
      </c>
      <c r="D6" s="130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</row>
    <row r="7" spans="1:19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</row>
    <row r="8" spans="1:19" ht="30">
      <c r="A8" s="116"/>
      <c r="B8" s="204" t="s">
        <v>91</v>
      </c>
      <c r="C8" s="205">
        <v>1.2339545829084828</v>
      </c>
      <c r="D8" s="206" t="s">
        <v>92</v>
      </c>
      <c r="E8" s="206" t="s">
        <v>93</v>
      </c>
      <c r="F8" s="206" t="s">
        <v>94</v>
      </c>
      <c r="G8" s="206" t="s">
        <v>93</v>
      </c>
      <c r="H8" s="206" t="s">
        <v>95</v>
      </c>
      <c r="I8" s="206" t="s">
        <v>93</v>
      </c>
      <c r="J8" s="116"/>
      <c r="K8" s="116"/>
      <c r="L8" s="116"/>
      <c r="M8" s="116"/>
      <c r="N8" s="116"/>
      <c r="O8" s="116"/>
      <c r="P8" s="116"/>
      <c r="Q8" s="116"/>
      <c r="R8" s="116"/>
      <c r="S8" s="116"/>
    </row>
    <row r="9" spans="1:19" ht="30">
      <c r="A9" s="116"/>
      <c r="B9" s="204" t="s">
        <v>96</v>
      </c>
      <c r="C9" s="207">
        <v>6.5762399006546374E-2</v>
      </c>
      <c r="D9" s="208">
        <v>1.1088655009326605</v>
      </c>
      <c r="E9" s="206" t="s">
        <v>97</v>
      </c>
      <c r="F9" s="175">
        <v>0</v>
      </c>
      <c r="G9" s="206" t="s">
        <v>98</v>
      </c>
      <c r="H9" s="175">
        <v>0</v>
      </c>
      <c r="I9" s="206" t="s">
        <v>97</v>
      </c>
      <c r="J9" s="116"/>
      <c r="K9" s="117"/>
      <c r="L9" s="116"/>
      <c r="M9" s="116"/>
      <c r="N9" s="116"/>
      <c r="O9" s="116"/>
      <c r="P9" s="116"/>
      <c r="Q9" s="116"/>
      <c r="R9" s="116"/>
      <c r="S9" s="116"/>
    </row>
    <row r="10" spans="1:19" ht="30">
      <c r="A10" s="116"/>
      <c r="B10" s="204" t="s">
        <v>99</v>
      </c>
      <c r="C10" s="207">
        <v>0.12142430163172492</v>
      </c>
      <c r="D10" s="206">
        <v>1</v>
      </c>
      <c r="E10" s="206" t="s">
        <v>97</v>
      </c>
      <c r="F10" s="206">
        <v>0</v>
      </c>
      <c r="G10" s="206" t="s">
        <v>97</v>
      </c>
      <c r="H10" s="206">
        <v>0</v>
      </c>
      <c r="I10" s="206" t="s">
        <v>97</v>
      </c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spans="1:19" ht="30">
      <c r="A11" s="116"/>
      <c r="B11" s="204" t="s">
        <v>100</v>
      </c>
      <c r="C11" s="207">
        <v>0.19275366641460706</v>
      </c>
      <c r="D11" s="206">
        <v>1</v>
      </c>
      <c r="E11" s="206" t="s">
        <v>97</v>
      </c>
      <c r="F11" s="206">
        <v>0</v>
      </c>
      <c r="G11" s="206" t="s">
        <v>97</v>
      </c>
      <c r="H11" s="206">
        <v>0</v>
      </c>
      <c r="I11" s="206" t="s">
        <v>97</v>
      </c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pans="1:19" ht="30">
      <c r="A12" s="116"/>
      <c r="B12" s="204" t="s">
        <v>101</v>
      </c>
      <c r="C12" s="269">
        <v>1</v>
      </c>
      <c r="D12" s="206">
        <v>1</v>
      </c>
      <c r="E12" s="206" t="s">
        <v>97</v>
      </c>
      <c r="F12" s="206">
        <v>0</v>
      </c>
      <c r="G12" s="206" t="s">
        <v>97</v>
      </c>
      <c r="H12" s="206">
        <v>0</v>
      </c>
      <c r="I12" s="206" t="s">
        <v>97</v>
      </c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spans="1:19" ht="30">
      <c r="A13" s="116"/>
      <c r="B13" s="204" t="s">
        <v>102</v>
      </c>
      <c r="C13" s="207">
        <v>9.346104407079539E-2</v>
      </c>
      <c r="D13" s="206">
        <v>1</v>
      </c>
      <c r="E13" s="206" t="s">
        <v>97</v>
      </c>
      <c r="F13" s="206">
        <v>0</v>
      </c>
      <c r="G13" s="206" t="s">
        <v>97</v>
      </c>
      <c r="H13" s="206">
        <v>0</v>
      </c>
      <c r="I13" s="206" t="s">
        <v>97</v>
      </c>
      <c r="J13" s="116"/>
      <c r="K13" s="116"/>
      <c r="L13" s="116"/>
      <c r="M13" s="116"/>
      <c r="N13" s="116"/>
      <c r="O13" s="116"/>
      <c r="P13" s="116"/>
      <c r="Q13" s="116"/>
      <c r="R13" s="116"/>
      <c r="S13" s="116"/>
    </row>
    <row r="14" spans="1:19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</row>
    <row r="15" spans="1:19" ht="18.75">
      <c r="A15" s="116"/>
      <c r="B15" s="116"/>
      <c r="C15" s="116"/>
      <c r="D15" s="117"/>
      <c r="E15" s="117"/>
      <c r="F15" s="116"/>
      <c r="G15" s="116"/>
      <c r="H15" s="116"/>
      <c r="I15" s="116"/>
      <c r="J15" s="116"/>
      <c r="K15" s="116"/>
      <c r="L15" s="116"/>
      <c r="M15" s="116"/>
      <c r="N15" s="209" t="s">
        <v>145</v>
      </c>
      <c r="O15" s="209"/>
      <c r="P15" s="209"/>
      <c r="Q15" s="209"/>
      <c r="R15" s="116"/>
      <c r="S15" s="116"/>
    </row>
    <row r="16" spans="1:19" ht="25.5">
      <c r="A16" s="116"/>
      <c r="B16" s="210" t="s">
        <v>103</v>
      </c>
      <c r="C16" s="210"/>
      <c r="D16" s="210" t="s">
        <v>104</v>
      </c>
      <c r="E16" s="210" t="s">
        <v>105</v>
      </c>
      <c r="F16" s="210" t="s">
        <v>106</v>
      </c>
      <c r="G16" s="210" t="s">
        <v>107</v>
      </c>
      <c r="H16" s="210" t="s">
        <v>92</v>
      </c>
      <c r="I16" s="210" t="s">
        <v>94</v>
      </c>
      <c r="J16" s="210" t="s">
        <v>95</v>
      </c>
      <c r="K16" s="210" t="s">
        <v>108</v>
      </c>
      <c r="L16" s="116"/>
      <c r="M16" s="116"/>
      <c r="N16" s="211" t="s">
        <v>146</v>
      </c>
      <c r="O16" s="211"/>
      <c r="P16" s="211"/>
      <c r="Q16" s="211"/>
      <c r="R16" s="116"/>
      <c r="S16" s="116"/>
    </row>
    <row r="17" spans="1:19" ht="25.5">
      <c r="A17" s="117"/>
      <c r="B17" s="210" t="s">
        <v>109</v>
      </c>
      <c r="C17" s="212"/>
      <c r="D17" s="250">
        <v>1000</v>
      </c>
      <c r="E17" s="213">
        <v>31</v>
      </c>
      <c r="F17" s="251">
        <f>+D17/E17</f>
        <v>32.258064516129032</v>
      </c>
      <c r="G17" s="252">
        <f>+F17*$C$6</f>
        <v>2.387096774193548</v>
      </c>
      <c r="H17" s="214"/>
      <c r="I17" s="214"/>
      <c r="J17" s="214"/>
      <c r="K17" s="214"/>
      <c r="L17" s="116"/>
      <c r="M17" s="116"/>
      <c r="N17" s="221" t="s">
        <v>103</v>
      </c>
      <c r="O17" s="221" t="s">
        <v>113</v>
      </c>
      <c r="P17" s="214"/>
      <c r="Q17" s="221" t="s">
        <v>147</v>
      </c>
      <c r="R17" s="116"/>
      <c r="S17" s="116"/>
    </row>
    <row r="18" spans="1:19">
      <c r="A18" s="116"/>
      <c r="B18" s="210" t="s">
        <v>110</v>
      </c>
      <c r="C18" s="215"/>
      <c r="D18" s="216"/>
      <c r="E18" s="217"/>
      <c r="F18" s="218"/>
      <c r="G18" s="252">
        <f>+G17/$C$8</f>
        <v>1.93450942786489</v>
      </c>
      <c r="H18" s="251">
        <f>ROUNDUP(+G18*D9,0)</f>
        <v>3</v>
      </c>
      <c r="I18" s="251">
        <f>ROUNDUP($F$9*$C$8*G18,0)</f>
        <v>0</v>
      </c>
      <c r="J18" s="251">
        <f>ROUNDUP(+G18*H9,0)</f>
        <v>0</v>
      </c>
      <c r="K18" s="251">
        <f>SUM(H18:J18)</f>
        <v>3</v>
      </c>
      <c r="L18" s="116"/>
      <c r="M18" s="116"/>
      <c r="N18" s="221" t="str">
        <f>+B18</f>
        <v>LLAMADAS DE VOZ</v>
      </c>
      <c r="O18" s="254">
        <f>+K18/$K$23</f>
        <v>0.15789473684210525</v>
      </c>
      <c r="P18" s="214"/>
      <c r="Q18" s="254">
        <f>+O18/$Q$21</f>
        <v>0.21428571428571427</v>
      </c>
      <c r="R18" s="116"/>
      <c r="S18" s="116"/>
    </row>
    <row r="19" spans="1:19">
      <c r="A19" s="116"/>
      <c r="B19" s="210" t="s">
        <v>64</v>
      </c>
      <c r="C19" s="212"/>
      <c r="D19" s="250">
        <v>1000</v>
      </c>
      <c r="E19" s="213">
        <v>31</v>
      </c>
      <c r="F19" s="251">
        <f t="shared" ref="F19:F22" si="0">+D19/E19</f>
        <v>32.258064516129032</v>
      </c>
      <c r="G19" s="252">
        <f>+F19*$C$10</f>
        <v>3.9169129558620943</v>
      </c>
      <c r="H19" s="251">
        <f>ROUNDUP(+G19*D10,0)</f>
        <v>4</v>
      </c>
      <c r="I19" s="251">
        <f>+G19*F10</f>
        <v>0</v>
      </c>
      <c r="J19" s="251">
        <f>ROUNDUP(+G19*H10,0)</f>
        <v>0</v>
      </c>
      <c r="K19" s="251">
        <f t="shared" ref="K19:K22" si="1">SUM(H19:J19)</f>
        <v>4</v>
      </c>
      <c r="L19" s="116"/>
      <c r="M19" s="116"/>
      <c r="N19" s="221" t="str">
        <f t="shared" ref="N19:N22" si="2">+B19</f>
        <v>SMS</v>
      </c>
      <c r="O19" s="254">
        <f>+K19/$K$23</f>
        <v>0.21052631578947367</v>
      </c>
      <c r="P19" s="214"/>
      <c r="Q19" s="254">
        <f t="shared" ref="Q19:Q20" si="3">+O19/$Q$21</f>
        <v>0.2857142857142857</v>
      </c>
      <c r="R19" s="116"/>
      <c r="S19" s="116"/>
    </row>
    <row r="20" spans="1:19">
      <c r="A20" s="116"/>
      <c r="B20" s="210" t="s">
        <v>65</v>
      </c>
      <c r="C20" s="212"/>
      <c r="D20" s="250">
        <v>1000</v>
      </c>
      <c r="E20" s="213">
        <v>31</v>
      </c>
      <c r="F20" s="251">
        <f t="shared" si="0"/>
        <v>32.258064516129032</v>
      </c>
      <c r="G20" s="252">
        <f>+F20*$C$11</f>
        <v>6.2178602069228086</v>
      </c>
      <c r="H20" s="251">
        <f>ROUNDUP(+G20*D11,0)</f>
        <v>7</v>
      </c>
      <c r="I20" s="251">
        <f>+G20*F11</f>
        <v>0</v>
      </c>
      <c r="J20" s="251">
        <f>ROUNDUP(+G20*H11,0)</f>
        <v>0</v>
      </c>
      <c r="K20" s="251">
        <f t="shared" si="1"/>
        <v>7</v>
      </c>
      <c r="L20" s="116"/>
      <c r="M20" s="116"/>
      <c r="N20" s="221" t="str">
        <f t="shared" si="2"/>
        <v>MMS</v>
      </c>
      <c r="O20" s="254">
        <f>+K20/$K$23</f>
        <v>0.36842105263157893</v>
      </c>
      <c r="P20" s="214"/>
      <c r="Q20" s="254">
        <f t="shared" si="3"/>
        <v>0.5</v>
      </c>
      <c r="R20" s="116"/>
      <c r="S20" s="116"/>
    </row>
    <row r="21" spans="1:19">
      <c r="A21" s="116"/>
      <c r="B21" s="210" t="s">
        <v>111</v>
      </c>
      <c r="C21" s="215"/>
      <c r="D21" s="216"/>
      <c r="E21" s="217"/>
      <c r="F21" s="218"/>
      <c r="G21" s="252">
        <f>+C12</f>
        <v>1</v>
      </c>
      <c r="H21" s="251">
        <v>1</v>
      </c>
      <c r="I21" s="251">
        <f>+G21*F12</f>
        <v>0</v>
      </c>
      <c r="J21" s="251">
        <f>ROUNDUP(+G21*H12,0)</f>
        <v>0</v>
      </c>
      <c r="K21" s="251">
        <f t="shared" si="1"/>
        <v>1</v>
      </c>
      <c r="L21" s="116"/>
      <c r="M21" s="116"/>
      <c r="N21" s="221" t="str">
        <f t="shared" si="2"/>
        <v>CONSULTA SALDO</v>
      </c>
      <c r="O21" s="255">
        <f>+K21/$K$23</f>
        <v>5.2631578947368418E-2</v>
      </c>
      <c r="P21" s="257">
        <f>+O21*$Q$18</f>
        <v>1.1278195488721804E-2</v>
      </c>
      <c r="Q21" s="256">
        <f>SUM(O18:O20)</f>
        <v>0.73684210526315785</v>
      </c>
      <c r="R21" s="116"/>
      <c r="S21" s="116"/>
    </row>
    <row r="22" spans="1:19">
      <c r="A22" s="116"/>
      <c r="B22" s="210" t="s">
        <v>112</v>
      </c>
      <c r="C22" s="212"/>
      <c r="D22" s="250">
        <v>1000</v>
      </c>
      <c r="E22" s="213">
        <v>31</v>
      </c>
      <c r="F22" s="251">
        <f t="shared" si="0"/>
        <v>32.258064516129032</v>
      </c>
      <c r="G22" s="252">
        <f>+F22*$C$13</f>
        <v>3.0148723893804963</v>
      </c>
      <c r="H22" s="251">
        <f>ROUNDUP(+G22*D13,0)</f>
        <v>4</v>
      </c>
      <c r="I22" s="251">
        <f>+G22*F13</f>
        <v>0</v>
      </c>
      <c r="J22" s="251">
        <f>ROUNDUP(+G22*H13,0)</f>
        <v>0</v>
      </c>
      <c r="K22" s="251">
        <f t="shared" si="1"/>
        <v>4</v>
      </c>
      <c r="L22" s="116"/>
      <c r="M22" s="116"/>
      <c r="N22" s="221" t="str">
        <f t="shared" si="2"/>
        <v>RECARGAS</v>
      </c>
      <c r="O22" s="254">
        <f>+K22/$K$23</f>
        <v>0.21052631578947367</v>
      </c>
      <c r="P22" s="256">
        <f>+O22*$Q$18</f>
        <v>4.5112781954887216E-2</v>
      </c>
      <c r="Q22" s="214"/>
      <c r="R22" s="116"/>
      <c r="S22" s="116"/>
    </row>
    <row r="23" spans="1:19">
      <c r="A23" s="116"/>
      <c r="B23" s="116"/>
      <c r="C23" s="116"/>
      <c r="D23" s="116"/>
      <c r="E23" s="116"/>
      <c r="F23" s="116"/>
      <c r="G23" s="116"/>
      <c r="H23" s="116"/>
      <c r="I23" s="116"/>
      <c r="J23" s="219" t="s">
        <v>144</v>
      </c>
      <c r="K23" s="253">
        <f>SUM(K18:K22)</f>
        <v>19</v>
      </c>
      <c r="L23" s="116"/>
      <c r="M23" s="116"/>
      <c r="N23" s="214"/>
      <c r="O23" s="214"/>
      <c r="P23" s="214"/>
      <c r="Q23" s="214"/>
      <c r="R23" s="116"/>
      <c r="S23" s="116"/>
    </row>
    <row r="24" spans="1:19" ht="25.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116"/>
      <c r="M24" s="116"/>
      <c r="N24" s="220" t="s">
        <v>114</v>
      </c>
      <c r="O24" s="259">
        <f>SUM(O25:O27)</f>
        <v>0.21428571428571427</v>
      </c>
      <c r="P24" s="214"/>
      <c r="Q24" s="214"/>
      <c r="R24" s="116"/>
      <c r="S24" s="116"/>
    </row>
    <row r="25" spans="1:19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222" t="str">
        <f>+N18</f>
        <v>LLAMADAS DE VOZ</v>
      </c>
      <c r="O25" s="258">
        <f>+O18</f>
        <v>0.15789473684210525</v>
      </c>
      <c r="P25" s="214"/>
      <c r="Q25" s="214"/>
      <c r="R25" s="116"/>
      <c r="S25" s="116"/>
    </row>
    <row r="26" spans="1:19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222" t="str">
        <f>+N21</f>
        <v>CONSULTA SALDO</v>
      </c>
      <c r="O26" s="258">
        <f>+P21</f>
        <v>1.1278195488721804E-2</v>
      </c>
      <c r="P26" s="214"/>
      <c r="Q26" s="214"/>
      <c r="R26" s="116"/>
      <c r="S26" s="116"/>
    </row>
    <row r="27" spans="1:19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222" t="str">
        <f>+N22</f>
        <v>RECARGAS</v>
      </c>
      <c r="O27" s="258">
        <f>+P22</f>
        <v>4.5112781954887216E-2</v>
      </c>
      <c r="P27" s="214"/>
      <c r="Q27" s="214"/>
      <c r="R27" s="116"/>
      <c r="S27" s="116"/>
    </row>
    <row r="28" spans="1:19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spans="1:19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spans="1:19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spans="1:19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spans="1:19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spans="1:19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spans="1:19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7" enableFormatConditionsCalculation="0">
    <tabColor indexed="33"/>
  </sheetPr>
  <dimension ref="A15:AB21"/>
  <sheetViews>
    <sheetView showGridLines="0" zoomScale="85" workbookViewId="0"/>
  </sheetViews>
  <sheetFormatPr baseColWidth="10" defaultColWidth="9.140625" defaultRowHeight="12.75"/>
  <cols>
    <col min="2" max="2" width="9" customWidth="1"/>
    <col min="3" max="3" width="13" customWidth="1"/>
    <col min="4" max="4" width="13" style="2" customWidth="1"/>
    <col min="5" max="5" width="13" customWidth="1"/>
    <col min="6" max="6" width="13" style="2" customWidth="1"/>
    <col min="7" max="7" width="13" customWidth="1"/>
    <col min="8" max="8" width="13" style="2" customWidth="1"/>
    <col min="9" max="9" width="13" customWidth="1"/>
    <col min="10" max="10" width="13" style="2" customWidth="1"/>
    <col min="11" max="11" width="13" customWidth="1"/>
    <col min="12" max="12" width="13" style="2" customWidth="1"/>
    <col min="13" max="13" width="13" customWidth="1"/>
    <col min="14" max="14" width="13" style="2" customWidth="1"/>
    <col min="17" max="17" width="12.42578125" customWidth="1"/>
    <col min="18" max="18" width="12.28515625" bestFit="1" customWidth="1"/>
    <col min="19" max="19" width="11.28515625" bestFit="1" customWidth="1"/>
    <col min="20" max="23" width="12.28515625" bestFit="1" customWidth="1"/>
    <col min="24" max="24" width="7.140625" bestFit="1" customWidth="1"/>
    <col min="25" max="25" width="10.28515625" bestFit="1" customWidth="1"/>
    <col min="26" max="26" width="7.140625" bestFit="1" customWidth="1"/>
    <col min="27" max="27" width="10.28515625" bestFit="1" customWidth="1"/>
    <col min="28" max="28" width="7.140625" bestFit="1" customWidth="1"/>
  </cols>
  <sheetData>
    <row r="15" spans="1:28" ht="20.25">
      <c r="A15" s="5"/>
      <c r="B15" s="1"/>
      <c r="C15" s="1" t="s">
        <v>0</v>
      </c>
      <c r="D15" s="20"/>
      <c r="E15" s="1"/>
      <c r="F15" s="20"/>
      <c r="G15" s="1"/>
      <c r="H15" s="20"/>
      <c r="I15" s="1"/>
      <c r="J15" s="20"/>
      <c r="K15" s="1"/>
      <c r="L15" s="20"/>
      <c r="M15" s="1"/>
      <c r="N15" s="20"/>
      <c r="O15" s="6"/>
      <c r="P15" s="1"/>
      <c r="Q15" s="21" t="s">
        <v>1</v>
      </c>
      <c r="R15" s="20"/>
      <c r="S15" s="21"/>
      <c r="T15" s="20"/>
      <c r="U15" s="21"/>
      <c r="V15" s="20"/>
      <c r="W15" s="21"/>
      <c r="X15" s="20"/>
      <c r="Y15" s="21"/>
      <c r="Z15" s="20"/>
      <c r="AA15" s="21"/>
      <c r="AB15" s="20"/>
    </row>
    <row r="16" spans="1:28" s="3" customFormat="1">
      <c r="D16" s="4"/>
      <c r="F16" s="4"/>
      <c r="H16" s="4"/>
      <c r="J16" s="4"/>
      <c r="L16" s="4"/>
      <c r="N16" s="4"/>
      <c r="P16"/>
      <c r="Q16" s="23"/>
      <c r="R16" s="2"/>
      <c r="S16" s="23"/>
      <c r="T16" s="2"/>
      <c r="U16" s="23"/>
      <c r="V16" s="2"/>
      <c r="W16" s="23"/>
      <c r="X16" s="2"/>
      <c r="Y16" s="23"/>
      <c r="Z16" s="2"/>
      <c r="AA16" s="23"/>
      <c r="AB16" s="2"/>
    </row>
    <row r="17" spans="3:28" s="3" customFormat="1">
      <c r="C17" s="8"/>
      <c r="D17" s="14">
        <v>2004</v>
      </c>
      <c r="E17" s="14">
        <v>2005</v>
      </c>
      <c r="F17" s="14">
        <v>2006</v>
      </c>
      <c r="G17" s="14">
        <v>2007</v>
      </c>
      <c r="H17" s="14">
        <v>2008</v>
      </c>
      <c r="I17" s="14">
        <v>2009</v>
      </c>
      <c r="J17" s="4"/>
      <c r="L17" s="4"/>
      <c r="N17" s="4"/>
      <c r="P17"/>
      <c r="Q17" s="22"/>
      <c r="R17" s="14">
        <v>2004</v>
      </c>
      <c r="S17" s="14">
        <v>2005</v>
      </c>
      <c r="T17" s="14">
        <v>2006</v>
      </c>
      <c r="U17" s="14">
        <v>2007</v>
      </c>
      <c r="V17" s="14">
        <v>2008</v>
      </c>
      <c r="W17" s="14">
        <v>2009</v>
      </c>
      <c r="X17" s="2"/>
      <c r="Y17" s="23"/>
      <c r="Z17" s="2"/>
      <c r="AA17" s="23"/>
      <c r="AB17" s="2"/>
    </row>
    <row r="18" spans="3:28" s="3" customFormat="1">
      <c r="C18" s="13" t="s">
        <v>2</v>
      </c>
      <c r="D18" s="129">
        <v>0.80728164935817925</v>
      </c>
      <c r="E18" s="129">
        <v>0.81149299518698159</v>
      </c>
      <c r="F18" s="129">
        <v>0.804953306244232</v>
      </c>
      <c r="G18" s="129">
        <v>0.73760104491901823</v>
      </c>
      <c r="H18" s="129">
        <v>0.69076060967698061</v>
      </c>
      <c r="I18" s="129">
        <v>0.74229259024769978</v>
      </c>
      <c r="J18" s="4"/>
      <c r="L18" s="4"/>
      <c r="N18" s="4"/>
      <c r="P18"/>
      <c r="Q18" s="13" t="s">
        <v>2</v>
      </c>
      <c r="R18" s="129">
        <v>3.4125000000000001</v>
      </c>
      <c r="S18" s="129">
        <v>3.2961</v>
      </c>
      <c r="T18" s="129">
        <v>3.2745000000000002</v>
      </c>
      <c r="U18" s="129">
        <v>3.1286</v>
      </c>
      <c r="V18" s="129">
        <v>2.9249000000000001</v>
      </c>
      <c r="W18" s="129">
        <v>3.0114999999999998</v>
      </c>
      <c r="X18" s="2"/>
      <c r="Y18" s="23"/>
      <c r="Z18" s="2"/>
      <c r="AA18" s="23"/>
      <c r="AB18" s="2"/>
    </row>
    <row r="19" spans="3:28" s="3" customFormat="1">
      <c r="D19" s="4"/>
      <c r="F19" s="4"/>
      <c r="H19" s="4"/>
      <c r="J19" s="4"/>
      <c r="L19" s="4"/>
      <c r="N19" s="4"/>
      <c r="P19"/>
      <c r="Q19" s="23"/>
      <c r="R19" s="2"/>
      <c r="S19" s="23"/>
      <c r="T19" s="2"/>
      <c r="U19" s="23"/>
      <c r="V19" s="2"/>
      <c r="W19" s="23"/>
      <c r="X19" s="2"/>
      <c r="Y19" s="23"/>
      <c r="Z19" s="2"/>
      <c r="AA19" s="23"/>
      <c r="AB19" s="2"/>
    </row>
    <row r="20" spans="3:28" s="3" customFormat="1">
      <c r="D20" s="4"/>
      <c r="F20" s="4"/>
      <c r="H20" s="4"/>
      <c r="J20" s="4"/>
      <c r="L20" s="4"/>
      <c r="N20" s="4"/>
      <c r="P20"/>
      <c r="Q20" s="23"/>
      <c r="R20" s="2"/>
      <c r="S20" s="23"/>
      <c r="T20" s="2"/>
      <c r="U20" s="23"/>
      <c r="V20" s="2"/>
      <c r="W20" s="23"/>
      <c r="X20" s="2"/>
      <c r="Y20" s="23"/>
      <c r="Z20" s="2"/>
      <c r="AA20" s="23"/>
      <c r="AB20" s="2"/>
    </row>
    <row r="21" spans="3:28" s="3" customFormat="1">
      <c r="D21" s="4"/>
      <c r="F21" s="4"/>
      <c r="H21" s="4"/>
      <c r="J21" s="4"/>
      <c r="L21" s="4"/>
      <c r="N21" s="4"/>
      <c r="P21"/>
      <c r="Q21" s="23"/>
      <c r="R21" s="2"/>
      <c r="S21" s="23"/>
      <c r="T21" s="2"/>
      <c r="U21" s="23"/>
      <c r="V21" s="2"/>
      <c r="W21" s="23"/>
      <c r="X21" s="2"/>
      <c r="Y21" s="23"/>
      <c r="Z21" s="2"/>
      <c r="AA21" s="23"/>
      <c r="AB21" s="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Resultados</vt:lpstr>
      <vt:lpstr>Costos</vt:lpstr>
      <vt:lpstr>Anualidades</vt:lpstr>
      <vt:lpstr>INPUT-ANUALIZACION</vt:lpstr>
      <vt:lpstr>Tráfico y costos TPP</vt:lpstr>
      <vt:lpstr>INPUT PRECIARIO PLATAFORMA</vt:lpstr>
      <vt:lpstr>INPUT COSTEO PLATAFORMA</vt:lpstr>
      <vt:lpstr>INPUT DIMENSIONAM PLAT</vt:lpstr>
      <vt:lpstr>Tipos de cambio</vt:lpstr>
      <vt:lpstr>sApOFM</vt:lpstr>
      <vt:lpstr>sMargCostCom</vt:lpstr>
      <vt:lpstr>sMarkupPlanif</vt:lpstr>
      <vt:lpstr>sVAP</vt:lpstr>
      <vt:lpstr>sVU</vt:lpstr>
      <vt:lpstr>WACC</vt:lpstr>
    </vt:vector>
  </TitlesOfParts>
  <Company>Frontier Economics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Lucena Betriu</dc:creator>
  <cp:lastModifiedBy>rguzman</cp:lastModifiedBy>
  <cp:lastPrinted>2011-01-18T14:39:18Z</cp:lastPrinted>
  <dcterms:created xsi:type="dcterms:W3CDTF">2003-10-24T13:18:20Z</dcterms:created>
  <dcterms:modified xsi:type="dcterms:W3CDTF">2011-08-03T22:55:29Z</dcterms:modified>
</cp:coreProperties>
</file>